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АССИСТЕНТ\Доработки\Калькуляторы НТМ\Калькулятор 9612\"/>
    </mc:Choice>
  </mc:AlternateContent>
  <xr:revisionPtr revIDLastSave="0" documentId="8_{5DAF74EF-5869-4084-B343-BE87CDCF4750}" xr6:coauthVersionLast="45" xr6:coauthVersionMax="45" xr10:uidLastSave="{00000000-0000-0000-0000-000000000000}"/>
  <bookViews>
    <workbookView xWindow="22932" yWindow="-108" windowWidth="20376" windowHeight="12360" xr2:uid="{00000000-000D-0000-FFFF-FFFF00000000}"/>
  </bookViews>
  <sheets>
    <sheet name="Рабочая операция" sheetId="7" r:id="rId1"/>
    <sheet name="Трудовая функция" sheetId="8" r:id="rId2"/>
    <sheet name="Рабочая смена" sheetId="10" r:id="rId3"/>
    <sheet name="ISO9612-оп" sheetId="6" r:id="rId4"/>
    <sheet name="ISO9612-тф" sheetId="9" r:id="rId5"/>
    <sheet name="ISO9612-РС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1" l="1"/>
  <c r="U29" i="7" l="1"/>
  <c r="S29" i="7"/>
  <c r="Q29" i="7"/>
  <c r="O29" i="7"/>
  <c r="D12" i="11" l="1"/>
  <c r="E12" i="11" s="1"/>
  <c r="D13" i="11"/>
  <c r="E13" i="11" s="1"/>
  <c r="D14" i="11"/>
  <c r="F14" i="11" s="1"/>
  <c r="D15" i="11"/>
  <c r="D16" i="11"/>
  <c r="D17" i="11"/>
  <c r="E17" i="11" s="1"/>
  <c r="D18" i="11"/>
  <c r="F18" i="11" s="1"/>
  <c r="G18" i="11" s="1"/>
  <c r="H18" i="11" s="1"/>
  <c r="D19" i="11"/>
  <c r="D20" i="11"/>
  <c r="E20" i="11" s="1"/>
  <c r="D21" i="11"/>
  <c r="D22" i="11"/>
  <c r="F22" i="11" s="1"/>
  <c r="G22" i="11" s="1"/>
  <c r="H22" i="11" s="1"/>
  <c r="D23" i="11"/>
  <c r="D24" i="11"/>
  <c r="E24" i="11" s="1"/>
  <c r="D25" i="11"/>
  <c r="E25" i="11" s="1"/>
  <c r="D26" i="11"/>
  <c r="F26" i="11" s="1"/>
  <c r="G26" i="11" s="1"/>
  <c r="H26" i="11" s="1"/>
  <c r="D27" i="11"/>
  <c r="D28" i="11"/>
  <c r="E28" i="11" s="1"/>
  <c r="D29" i="11"/>
  <c r="D11" i="11"/>
  <c r="F11" i="11" s="1"/>
  <c r="D10" i="11"/>
  <c r="D9" i="11"/>
  <c r="D8" i="11"/>
  <c r="D40" i="11"/>
  <c r="E12" i="10" s="1"/>
  <c r="M36" i="11"/>
  <c r="E29" i="11"/>
  <c r="F29" i="11"/>
  <c r="G29" i="11" s="1"/>
  <c r="H29" i="11" s="1"/>
  <c r="F27" i="11"/>
  <c r="G27" i="11" s="1"/>
  <c r="H27" i="11" s="1"/>
  <c r="E27" i="11"/>
  <c r="F24" i="11"/>
  <c r="G24" i="11" s="1"/>
  <c r="H24" i="11" s="1"/>
  <c r="G23" i="11"/>
  <c r="H23" i="11" s="1"/>
  <c r="F23" i="11"/>
  <c r="E23" i="11"/>
  <c r="E21" i="11"/>
  <c r="F21" i="11"/>
  <c r="G21" i="11" s="1"/>
  <c r="H21" i="11" s="1"/>
  <c r="F19" i="11"/>
  <c r="G19" i="11" s="1"/>
  <c r="H19" i="11" s="1"/>
  <c r="E19" i="11"/>
  <c r="F17" i="11"/>
  <c r="G17" i="11" s="1"/>
  <c r="H17" i="11" s="1"/>
  <c r="F16" i="11"/>
  <c r="G16" i="11" s="1"/>
  <c r="H16" i="11" s="1"/>
  <c r="E16" i="11"/>
  <c r="F15" i="11"/>
  <c r="E15" i="11"/>
  <c r="F10" i="11"/>
  <c r="D7" i="11"/>
  <c r="D5" i="11"/>
  <c r="G2" i="11" s="1"/>
  <c r="F25" i="11" l="1"/>
  <c r="G25" i="11" s="1"/>
  <c r="H25" i="11" s="1"/>
  <c r="F20" i="11"/>
  <c r="G20" i="11" s="1"/>
  <c r="H20" i="11" s="1"/>
  <c r="F28" i="11"/>
  <c r="G28" i="11" s="1"/>
  <c r="H28" i="11" s="1"/>
  <c r="F13" i="11"/>
  <c r="F12" i="11"/>
  <c r="F36" i="11" s="1"/>
  <c r="E11" i="11"/>
  <c r="F3" i="11"/>
  <c r="H5" i="11"/>
  <c r="G3" i="11"/>
  <c r="G4" i="11" s="1"/>
  <c r="G5" i="11" s="1"/>
  <c r="F2" i="11"/>
  <c r="E10" i="11"/>
  <c r="E14" i="11"/>
  <c r="E22" i="11"/>
  <c r="E26" i="11"/>
  <c r="E5" i="11"/>
  <c r="E18" i="11"/>
  <c r="M36" i="9"/>
  <c r="E36" i="11" l="1"/>
  <c r="D36" i="11" s="1"/>
  <c r="F4" i="11"/>
  <c r="F5" i="11" s="1"/>
  <c r="D6" i="11" s="1"/>
  <c r="D41" i="11"/>
  <c r="G15" i="11" s="1"/>
  <c r="H15" i="11" s="1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10" i="9"/>
  <c r="D9" i="9"/>
  <c r="D7" i="9"/>
  <c r="D5" i="9"/>
  <c r="D38" i="9"/>
  <c r="G13" i="11" l="1"/>
  <c r="H13" i="11" s="1"/>
  <c r="G14" i="11"/>
  <c r="H14" i="11" s="1"/>
  <c r="D37" i="11"/>
  <c r="E18" i="10" s="1"/>
  <c r="E22" i="10" s="1"/>
  <c r="E11" i="10"/>
  <c r="G11" i="11"/>
  <c r="H11" i="11" s="1"/>
  <c r="G12" i="11"/>
  <c r="H12" i="11" s="1"/>
  <c r="G10" i="11"/>
  <c r="H10" i="11" s="1"/>
  <c r="D40" i="9"/>
  <c r="E12" i="8" s="1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10" i="9"/>
  <c r="F11" i="9"/>
  <c r="F12" i="9"/>
  <c r="F13" i="9"/>
  <c r="F14" i="9"/>
  <c r="F15" i="9"/>
  <c r="F16" i="9"/>
  <c r="F17" i="9"/>
  <c r="F18" i="9"/>
  <c r="F19" i="9"/>
  <c r="F20" i="9"/>
  <c r="G20" i="9" s="1"/>
  <c r="H20" i="9" s="1"/>
  <c r="F21" i="9"/>
  <c r="G21" i="9" s="1"/>
  <c r="H21" i="9" s="1"/>
  <c r="F22" i="9"/>
  <c r="F23" i="9"/>
  <c r="G23" i="9" s="1"/>
  <c r="H23" i="9" s="1"/>
  <c r="F24" i="9"/>
  <c r="G24" i="9" s="1"/>
  <c r="H24" i="9" s="1"/>
  <c r="F25" i="9"/>
  <c r="G25" i="9" s="1"/>
  <c r="H25" i="9" s="1"/>
  <c r="F26" i="9"/>
  <c r="G26" i="9" s="1"/>
  <c r="H26" i="9" s="1"/>
  <c r="F27" i="9"/>
  <c r="G27" i="9" s="1"/>
  <c r="H27" i="9" s="1"/>
  <c r="F28" i="9"/>
  <c r="G28" i="9" s="1"/>
  <c r="H28" i="9" s="1"/>
  <c r="F29" i="9"/>
  <c r="G29" i="9" s="1"/>
  <c r="H29" i="9" s="1"/>
  <c r="F10" i="9"/>
  <c r="H36" i="11" l="1"/>
  <c r="D42" i="11" s="1"/>
  <c r="E36" i="9"/>
  <c r="F36" i="9"/>
  <c r="H5" i="9"/>
  <c r="G3" i="9"/>
  <c r="G2" i="9"/>
  <c r="E5" i="9"/>
  <c r="F3" i="9"/>
  <c r="F2" i="9"/>
  <c r="E13" i="10" l="1"/>
  <c r="F42" i="11"/>
  <c r="D43" i="11" s="1"/>
  <c r="D45" i="11" s="1"/>
  <c r="H42" i="11"/>
  <c r="D36" i="9"/>
  <c r="D37" i="9" s="1"/>
  <c r="E18" i="8" s="1"/>
  <c r="E22" i="8" s="1"/>
  <c r="D41" i="9"/>
  <c r="G22" i="9" s="1"/>
  <c r="H22" i="9" s="1"/>
  <c r="F4" i="9"/>
  <c r="F5" i="9" s="1"/>
  <c r="G4" i="9"/>
  <c r="G5" i="9" s="1"/>
  <c r="BA41" i="6"/>
  <c r="AV39" i="6"/>
  <c r="AQ39" i="6"/>
  <c r="AL39" i="6"/>
  <c r="AG39" i="6"/>
  <c r="AB39" i="6"/>
  <c r="W39" i="6"/>
  <c r="R39" i="6"/>
  <c r="M39" i="6"/>
  <c r="H39" i="6"/>
  <c r="C39" i="6"/>
  <c r="U38" i="7"/>
  <c r="S38" i="7"/>
  <c r="Q38" i="7"/>
  <c r="O38" i="7"/>
  <c r="V35" i="7"/>
  <c r="T35" i="7"/>
  <c r="R35" i="7"/>
  <c r="P35" i="7"/>
  <c r="U35" i="7"/>
  <c r="S35" i="7"/>
  <c r="Q35" i="7"/>
  <c r="O35" i="7"/>
  <c r="V32" i="7"/>
  <c r="T32" i="7"/>
  <c r="R32" i="7"/>
  <c r="P32" i="7"/>
  <c r="O32" i="7"/>
  <c r="Q32" i="7"/>
  <c r="S32" i="7"/>
  <c r="V29" i="7"/>
  <c r="T29" i="7"/>
  <c r="R29" i="7"/>
  <c r="P29" i="7"/>
  <c r="U32" i="7"/>
  <c r="D6" i="9" l="1"/>
  <c r="C36" i="8" s="1"/>
  <c r="E14" i="10"/>
  <c r="D47" i="11"/>
  <c r="E20" i="10" s="1"/>
  <c r="E19" i="10"/>
  <c r="D46" i="11"/>
  <c r="E21" i="10" s="1"/>
  <c r="E11" i="8"/>
  <c r="G11" i="9"/>
  <c r="H11" i="9" s="1"/>
  <c r="G17" i="9"/>
  <c r="H17" i="9" s="1"/>
  <c r="G18" i="9"/>
  <c r="H18" i="9" s="1"/>
  <c r="G13" i="9"/>
  <c r="H13" i="9" s="1"/>
  <c r="G10" i="9"/>
  <c r="H10" i="9" s="1"/>
  <c r="G14" i="9"/>
  <c r="H14" i="9" s="1"/>
  <c r="G16" i="9"/>
  <c r="H16" i="9" s="1"/>
  <c r="G15" i="9"/>
  <c r="H15" i="9" s="1"/>
  <c r="G19" i="9"/>
  <c r="H19" i="9" s="1"/>
  <c r="G12" i="9"/>
  <c r="H12" i="9" s="1"/>
  <c r="AV7" i="6"/>
  <c r="CU7" i="6" s="1"/>
  <c r="AW7" i="6"/>
  <c r="AV8" i="6"/>
  <c r="CT8" i="6" s="1"/>
  <c r="AW8" i="6"/>
  <c r="CX8" i="6" s="1"/>
  <c r="AV9" i="6"/>
  <c r="CU9" i="6" s="1"/>
  <c r="AW9" i="6"/>
  <c r="CX9" i="6" s="1"/>
  <c r="AV10" i="6"/>
  <c r="CT10" i="6" s="1"/>
  <c r="AW10" i="6"/>
  <c r="CW10" i="6" s="1"/>
  <c r="AV11" i="6"/>
  <c r="CV11" i="6" s="1"/>
  <c r="AW11" i="6"/>
  <c r="AV12" i="6"/>
  <c r="CU12" i="6" s="1"/>
  <c r="AW12" i="6"/>
  <c r="CX12" i="6" s="1"/>
  <c r="AV13" i="6"/>
  <c r="CT13" i="6" s="1"/>
  <c r="AW13" i="6"/>
  <c r="CW13" i="6" s="1"/>
  <c r="AV14" i="6"/>
  <c r="CU14" i="6" s="1"/>
  <c r="AW14" i="6"/>
  <c r="CW14" i="6" s="1"/>
  <c r="AV15" i="6"/>
  <c r="CV15" i="6" s="1"/>
  <c r="AW15" i="6"/>
  <c r="CW15" i="6" s="1"/>
  <c r="AW6" i="6"/>
  <c r="CX6" i="6" s="1"/>
  <c r="AV6" i="6"/>
  <c r="CU6" i="6" s="1"/>
  <c r="AQ7" i="6"/>
  <c r="CO7" i="6" s="1"/>
  <c r="AR7" i="6"/>
  <c r="CS7" i="6" s="1"/>
  <c r="AQ8" i="6"/>
  <c r="CP8" i="6" s="1"/>
  <c r="AR8" i="6"/>
  <c r="CS8" i="6" s="1"/>
  <c r="AQ9" i="6"/>
  <c r="CO9" i="6" s="1"/>
  <c r="AR9" i="6"/>
  <c r="AQ10" i="6"/>
  <c r="CP10" i="6" s="1"/>
  <c r="AR10" i="6"/>
  <c r="CR10" i="6" s="1"/>
  <c r="AQ11" i="6"/>
  <c r="CP11" i="6" s="1"/>
  <c r="AR11" i="6"/>
  <c r="AQ12" i="6"/>
  <c r="CQ12" i="6" s="1"/>
  <c r="AR12" i="6"/>
  <c r="CR12" i="6" s="1"/>
  <c r="AQ13" i="6"/>
  <c r="CP13" i="6" s="1"/>
  <c r="AR13" i="6"/>
  <c r="CS13" i="6" s="1"/>
  <c r="AQ14" i="6"/>
  <c r="CO14" i="6" s="1"/>
  <c r="AR14" i="6"/>
  <c r="CR14" i="6" s="1"/>
  <c r="AQ15" i="6"/>
  <c r="CP15" i="6" s="1"/>
  <c r="AR15" i="6"/>
  <c r="CS15" i="6" s="1"/>
  <c r="AR6" i="6"/>
  <c r="CS6" i="6" s="1"/>
  <c r="AQ6" i="6"/>
  <c r="CP6" i="6" s="1"/>
  <c r="AL7" i="6"/>
  <c r="CJ7" i="6" s="1"/>
  <c r="AM7" i="6"/>
  <c r="AL8" i="6"/>
  <c r="CK8" i="6" s="1"/>
  <c r="AM8" i="6"/>
  <c r="AL9" i="6"/>
  <c r="CJ9" i="6" s="1"/>
  <c r="AM9" i="6"/>
  <c r="AL10" i="6"/>
  <c r="CK10" i="6" s="1"/>
  <c r="AM10" i="6"/>
  <c r="CM10" i="6" s="1"/>
  <c r="AL11" i="6"/>
  <c r="CK11" i="6" s="1"/>
  <c r="AM11" i="6"/>
  <c r="AL12" i="6"/>
  <c r="CL12" i="6" s="1"/>
  <c r="AM12" i="6"/>
  <c r="CM12" i="6" s="1"/>
  <c r="AL13" i="6"/>
  <c r="CK13" i="6" s="1"/>
  <c r="AM13" i="6"/>
  <c r="AL14" i="6"/>
  <c r="CJ14" i="6" s="1"/>
  <c r="AM14" i="6"/>
  <c r="CN14" i="6" s="1"/>
  <c r="AL15" i="6"/>
  <c r="CK15" i="6" s="1"/>
  <c r="AM15" i="6"/>
  <c r="AM6" i="6"/>
  <c r="CN6" i="6" s="1"/>
  <c r="AL6" i="6"/>
  <c r="CK6" i="6" s="1"/>
  <c r="AG7" i="6"/>
  <c r="CF7" i="6" s="1"/>
  <c r="AH7" i="6"/>
  <c r="AG8" i="6"/>
  <c r="CF8" i="6" s="1"/>
  <c r="AH8" i="6"/>
  <c r="CI8" i="6" s="1"/>
  <c r="AG9" i="6"/>
  <c r="CE9" i="6" s="1"/>
  <c r="AH9" i="6"/>
  <c r="CI9" i="6" s="1"/>
  <c r="AG10" i="6"/>
  <c r="CE10" i="6" s="1"/>
  <c r="AH10" i="6"/>
  <c r="CI10" i="6" s="1"/>
  <c r="AG11" i="6"/>
  <c r="CF11" i="6" s="1"/>
  <c r="AH11" i="6"/>
  <c r="CH11" i="6" s="1"/>
  <c r="AG12" i="6"/>
  <c r="CG12" i="6" s="1"/>
  <c r="AH12" i="6"/>
  <c r="CH12" i="6" s="1"/>
  <c r="AG13" i="6"/>
  <c r="CF13" i="6" s="1"/>
  <c r="AH13" i="6"/>
  <c r="CH13" i="6" s="1"/>
  <c r="AG14" i="6"/>
  <c r="CF14" i="6" s="1"/>
  <c r="AH14" i="6"/>
  <c r="CI14" i="6" s="1"/>
  <c r="AG15" i="6"/>
  <c r="CE15" i="6" s="1"/>
  <c r="AH15" i="6"/>
  <c r="CH15" i="6" s="1"/>
  <c r="AH6" i="6"/>
  <c r="CI6" i="6" s="1"/>
  <c r="AG6" i="6"/>
  <c r="CF6" i="6" s="1"/>
  <c r="AB7" i="6"/>
  <c r="BZ7" i="6" s="1"/>
  <c r="AC7" i="6"/>
  <c r="AB8" i="6"/>
  <c r="CA8" i="6" s="1"/>
  <c r="AC8" i="6"/>
  <c r="CD8" i="6" s="1"/>
  <c r="AB9" i="6"/>
  <c r="BZ9" i="6" s="1"/>
  <c r="AC9" i="6"/>
  <c r="CD9" i="6" s="1"/>
  <c r="AB10" i="6"/>
  <c r="CA10" i="6" s="1"/>
  <c r="AC10" i="6"/>
  <c r="CD10" i="6" s="1"/>
  <c r="AB11" i="6"/>
  <c r="CA11" i="6" s="1"/>
  <c r="AC11" i="6"/>
  <c r="CD11" i="6" s="1"/>
  <c r="AB12" i="6"/>
  <c r="BZ12" i="6" s="1"/>
  <c r="AC12" i="6"/>
  <c r="CC12" i="6" s="1"/>
  <c r="AB13" i="6"/>
  <c r="CA13" i="6" s="1"/>
  <c r="AC13" i="6"/>
  <c r="CC13" i="6" s="1"/>
  <c r="AB14" i="6"/>
  <c r="CB14" i="6" s="1"/>
  <c r="AC14" i="6"/>
  <c r="CC14" i="6" s="1"/>
  <c r="AB15" i="6"/>
  <c r="CA15" i="6" s="1"/>
  <c r="AC15" i="6"/>
  <c r="CC15" i="6" s="1"/>
  <c r="AC6" i="6"/>
  <c r="CD6" i="6" s="1"/>
  <c r="AB6" i="6"/>
  <c r="BZ6" i="6" s="1"/>
  <c r="W7" i="6"/>
  <c r="BV7" i="6" s="1"/>
  <c r="X7" i="6"/>
  <c r="BY7" i="6" s="1"/>
  <c r="W8" i="6"/>
  <c r="BU8" i="6" s="1"/>
  <c r="X8" i="6"/>
  <c r="BY8" i="6" s="1"/>
  <c r="W9" i="6"/>
  <c r="BV9" i="6" s="1"/>
  <c r="X9" i="6"/>
  <c r="BY9" i="6" s="1"/>
  <c r="W10" i="6"/>
  <c r="BU10" i="6" s="1"/>
  <c r="X10" i="6"/>
  <c r="BY10" i="6" s="1"/>
  <c r="W11" i="6"/>
  <c r="BW11" i="6" s="1"/>
  <c r="X11" i="6"/>
  <c r="BY11" i="6" s="1"/>
  <c r="W12" i="6"/>
  <c r="BV12" i="6" s="1"/>
  <c r="X12" i="6"/>
  <c r="BX12" i="6" s="1"/>
  <c r="W13" i="6"/>
  <c r="BU13" i="6" s="1"/>
  <c r="X13" i="6"/>
  <c r="BY13" i="6" s="1"/>
  <c r="W14" i="6"/>
  <c r="BV14" i="6" s="1"/>
  <c r="X14" i="6"/>
  <c r="BX14" i="6" s="1"/>
  <c r="W15" i="6"/>
  <c r="BW15" i="6" s="1"/>
  <c r="X15" i="6"/>
  <c r="BY15" i="6" s="1"/>
  <c r="X6" i="6"/>
  <c r="BY6" i="6" s="1"/>
  <c r="W6" i="6"/>
  <c r="W4" i="6" s="1"/>
  <c r="R7" i="6"/>
  <c r="BQ7" i="6" s="1"/>
  <c r="S7" i="6"/>
  <c r="R8" i="6"/>
  <c r="BP8" i="6" s="1"/>
  <c r="S8" i="6"/>
  <c r="BT8" i="6" s="1"/>
  <c r="R9" i="6"/>
  <c r="BQ9" i="6" s="1"/>
  <c r="S9" i="6"/>
  <c r="BT9" i="6" s="1"/>
  <c r="R10" i="6"/>
  <c r="BP10" i="6" s="1"/>
  <c r="S10" i="6"/>
  <c r="BT10" i="6" s="1"/>
  <c r="R11" i="6"/>
  <c r="BR11" i="6" s="1"/>
  <c r="S11" i="6"/>
  <c r="BS11" i="6" s="1"/>
  <c r="R12" i="6"/>
  <c r="BQ12" i="6" s="1"/>
  <c r="S12" i="6"/>
  <c r="BT12" i="6" s="1"/>
  <c r="R13" i="6"/>
  <c r="BP13" i="6" s="1"/>
  <c r="S13" i="6"/>
  <c r="BT13" i="6" s="1"/>
  <c r="R14" i="6"/>
  <c r="BQ14" i="6" s="1"/>
  <c r="S14" i="6"/>
  <c r="BS14" i="6" s="1"/>
  <c r="R15" i="6"/>
  <c r="BR15" i="6" s="1"/>
  <c r="S15" i="6"/>
  <c r="BT15" i="6" s="1"/>
  <c r="S6" i="6"/>
  <c r="BT6" i="6" s="1"/>
  <c r="R6" i="6"/>
  <c r="BQ6" i="6" s="1"/>
  <c r="M7" i="6"/>
  <c r="BL7" i="6" s="1"/>
  <c r="N7" i="6"/>
  <c r="BO7" i="6" s="1"/>
  <c r="M8" i="6"/>
  <c r="BK8" i="6" s="1"/>
  <c r="N8" i="6"/>
  <c r="BO8" i="6" s="1"/>
  <c r="M9" i="6"/>
  <c r="BL9" i="6" s="1"/>
  <c r="N9" i="6"/>
  <c r="M10" i="6"/>
  <c r="BK10" i="6" s="1"/>
  <c r="N10" i="6"/>
  <c r="BN10" i="6" s="1"/>
  <c r="M11" i="6"/>
  <c r="BM11" i="6" s="1"/>
  <c r="N11" i="6"/>
  <c r="BN11" i="6" s="1"/>
  <c r="M12" i="6"/>
  <c r="BL12" i="6" s="1"/>
  <c r="N12" i="6"/>
  <c r="BO12" i="6" s="1"/>
  <c r="M13" i="6"/>
  <c r="BK13" i="6" s="1"/>
  <c r="N13" i="6"/>
  <c r="BN13" i="6" s="1"/>
  <c r="M14" i="6"/>
  <c r="BL14" i="6" s="1"/>
  <c r="N14" i="6"/>
  <c r="BO14" i="6" s="1"/>
  <c r="M15" i="6"/>
  <c r="BM15" i="6" s="1"/>
  <c r="N15" i="6"/>
  <c r="BO15" i="6" s="1"/>
  <c r="N6" i="6"/>
  <c r="BO6" i="6" s="1"/>
  <c r="M6" i="6"/>
  <c r="BL6" i="6" s="1"/>
  <c r="H7" i="6"/>
  <c r="BG7" i="6" s="1"/>
  <c r="I7" i="6"/>
  <c r="BJ7" i="6" s="1"/>
  <c r="H8" i="6"/>
  <c r="BF8" i="6" s="1"/>
  <c r="I8" i="6"/>
  <c r="BJ8" i="6" s="1"/>
  <c r="H9" i="6"/>
  <c r="BG9" i="6" s="1"/>
  <c r="I9" i="6"/>
  <c r="BJ9" i="6" s="1"/>
  <c r="H10" i="6"/>
  <c r="BF10" i="6" s="1"/>
  <c r="I10" i="6"/>
  <c r="BJ10" i="6" s="1"/>
  <c r="H11" i="6"/>
  <c r="I11" i="6"/>
  <c r="BI11" i="6" s="1"/>
  <c r="H12" i="6"/>
  <c r="BH12" i="6" s="1"/>
  <c r="I12" i="6"/>
  <c r="BI12" i="6" s="1"/>
  <c r="H13" i="6"/>
  <c r="BG13" i="6" s="1"/>
  <c r="I13" i="6"/>
  <c r="BJ13" i="6" s="1"/>
  <c r="H14" i="6"/>
  <c r="BF14" i="6" s="1"/>
  <c r="I14" i="6"/>
  <c r="BI14" i="6" s="1"/>
  <c r="H15" i="6"/>
  <c r="BG15" i="6" s="1"/>
  <c r="I15" i="6"/>
  <c r="BJ15" i="6" s="1"/>
  <c r="I6" i="6"/>
  <c r="BJ6" i="6" s="1"/>
  <c r="H6" i="6"/>
  <c r="BF6" i="6" s="1"/>
  <c r="C7" i="6"/>
  <c r="BB7" i="6" s="1"/>
  <c r="D7" i="6"/>
  <c r="BE7" i="6" s="1"/>
  <c r="C8" i="6"/>
  <c r="BA8" i="6" s="1"/>
  <c r="D8" i="6"/>
  <c r="BE8" i="6" s="1"/>
  <c r="C9" i="6"/>
  <c r="BA9" i="6" s="1"/>
  <c r="D9" i="6"/>
  <c r="BE9" i="6" s="1"/>
  <c r="C10" i="6"/>
  <c r="BA10" i="6" s="1"/>
  <c r="D10" i="6"/>
  <c r="BD10" i="6" s="1"/>
  <c r="C11" i="6"/>
  <c r="BA11" i="6" s="1"/>
  <c r="D11" i="6"/>
  <c r="BE11" i="6" s="1"/>
  <c r="C12" i="6"/>
  <c r="BA12" i="6" s="1"/>
  <c r="D12" i="6"/>
  <c r="BD12" i="6" s="1"/>
  <c r="C13" i="6"/>
  <c r="BA13" i="6" s="1"/>
  <c r="D13" i="6"/>
  <c r="BD13" i="6" s="1"/>
  <c r="C14" i="6"/>
  <c r="BA14" i="6" s="1"/>
  <c r="D14" i="6"/>
  <c r="BD14" i="6" s="1"/>
  <c r="C15" i="6"/>
  <c r="BA15" i="6" s="1"/>
  <c r="D15" i="6"/>
  <c r="BD15" i="6" s="1"/>
  <c r="D6" i="6"/>
  <c r="BE6" i="6" s="1"/>
  <c r="C6" i="6"/>
  <c r="BA6" i="6" s="1"/>
  <c r="CX15" i="6"/>
  <c r="CU15" i="6"/>
  <c r="CX14" i="6"/>
  <c r="CX13" i="6"/>
  <c r="CU13" i="6"/>
  <c r="CX11" i="6"/>
  <c r="CW11" i="6"/>
  <c r="CU11" i="6"/>
  <c r="CT9" i="6"/>
  <c r="CX7" i="6"/>
  <c r="CT7" i="6"/>
  <c r="CR15" i="6"/>
  <c r="CQ15" i="6"/>
  <c r="CO15" i="6"/>
  <c r="CR13" i="6"/>
  <c r="CQ13" i="6"/>
  <c r="CO13" i="6"/>
  <c r="CS12" i="6"/>
  <c r="CS11" i="6"/>
  <c r="CR11" i="6"/>
  <c r="CQ11" i="6"/>
  <c r="CO11" i="6"/>
  <c r="CS9" i="6"/>
  <c r="CP9" i="6"/>
  <c r="CP7" i="6"/>
  <c r="CN15" i="6"/>
  <c r="CM15" i="6"/>
  <c r="CL15" i="6"/>
  <c r="CJ15" i="6"/>
  <c r="CN13" i="6"/>
  <c r="CM13" i="6"/>
  <c r="CL13" i="6"/>
  <c r="CJ13" i="6"/>
  <c r="CN11" i="6"/>
  <c r="CM11" i="6"/>
  <c r="CL11" i="6"/>
  <c r="CJ11" i="6"/>
  <c r="CN10" i="6"/>
  <c r="CN9" i="6"/>
  <c r="CK9" i="6"/>
  <c r="CN8" i="6"/>
  <c r="CN7" i="6"/>
  <c r="CK7" i="6"/>
  <c r="CF15" i="6"/>
  <c r="CH14" i="6"/>
  <c r="CG13" i="6"/>
  <c r="CE13" i="6"/>
  <c r="CG11" i="6"/>
  <c r="CE11" i="6"/>
  <c r="CF9" i="6"/>
  <c r="CI7" i="6"/>
  <c r="CE7" i="6"/>
  <c r="CB15" i="6"/>
  <c r="BZ15" i="6"/>
  <c r="CB13" i="6"/>
  <c r="BZ13" i="6"/>
  <c r="CC11" i="6"/>
  <c r="CB11" i="6"/>
  <c r="BZ11" i="6"/>
  <c r="CA9" i="6"/>
  <c r="CD7" i="6"/>
  <c r="CA7" i="6"/>
  <c r="BX15" i="6"/>
  <c r="BV15" i="6"/>
  <c r="BY14" i="6"/>
  <c r="BV13" i="6"/>
  <c r="BX11" i="6"/>
  <c r="BV11" i="6"/>
  <c r="BU9" i="6"/>
  <c r="BS15" i="6"/>
  <c r="BQ15" i="6"/>
  <c r="BT14" i="6"/>
  <c r="BQ13" i="6"/>
  <c r="BQ11" i="6"/>
  <c r="BQ10" i="6"/>
  <c r="BP9" i="6"/>
  <c r="BT7" i="6"/>
  <c r="BN15" i="6"/>
  <c r="BL15" i="6"/>
  <c r="BL13" i="6"/>
  <c r="BO11" i="6"/>
  <c r="BL11" i="6"/>
  <c r="BO9" i="6"/>
  <c r="BK9" i="6"/>
  <c r="BD11" i="6"/>
  <c r="BE12" i="6"/>
  <c r="BE13" i="6"/>
  <c r="BP7" i="6" l="1"/>
  <c r="BK7" i="6"/>
  <c r="BU7" i="6"/>
  <c r="D8" i="9"/>
  <c r="C37" i="8" s="1"/>
  <c r="CD12" i="6"/>
  <c r="BU6" i="6"/>
  <c r="BX13" i="6"/>
  <c r="BY12" i="6"/>
  <c r="BS13" i="6"/>
  <c r="BQ8" i="6"/>
  <c r="BQ16" i="6" s="1"/>
  <c r="CA6" i="6"/>
  <c r="M4" i="6"/>
  <c r="H36" i="9"/>
  <c r="D42" i="9" s="1"/>
  <c r="F42" i="9" s="1"/>
  <c r="BE15" i="6"/>
  <c r="BO13" i="6"/>
  <c r="BT11" i="6"/>
  <c r="CD13" i="6"/>
  <c r="CD15" i="6"/>
  <c r="CI11" i="6"/>
  <c r="CI13" i="6"/>
  <c r="CI15" i="6"/>
  <c r="BI15" i="6"/>
  <c r="BA7" i="6"/>
  <c r="BA16" i="6" s="1"/>
  <c r="AL4" i="6"/>
  <c r="BO10" i="6"/>
  <c r="BN14" i="6"/>
  <c r="CH10" i="6"/>
  <c r="CJ6" i="6"/>
  <c r="CS14" i="6"/>
  <c r="BI10" i="6"/>
  <c r="BE14" i="6"/>
  <c r="BE10" i="6"/>
  <c r="AB4" i="6"/>
  <c r="AQ4" i="6"/>
  <c r="BP6" i="6"/>
  <c r="BS10" i="6"/>
  <c r="BS12" i="6"/>
  <c r="BX10" i="6"/>
  <c r="CC10" i="6"/>
  <c r="CD14" i="6"/>
  <c r="CM14" i="6"/>
  <c r="CS10" i="6"/>
  <c r="CT6" i="6"/>
  <c r="CX10" i="6"/>
  <c r="CW12" i="6"/>
  <c r="BJ12" i="6"/>
  <c r="BN12" i="6"/>
  <c r="CN12" i="6"/>
  <c r="H4" i="6"/>
  <c r="AG4" i="6"/>
  <c r="AV4" i="6"/>
  <c r="CE6" i="6"/>
  <c r="CI12" i="6"/>
  <c r="CO6" i="6"/>
  <c r="BG6" i="6"/>
  <c r="BJ14" i="6"/>
  <c r="BZ10" i="6"/>
  <c r="BI13" i="6"/>
  <c r="CT14" i="6"/>
  <c r="BH15" i="6"/>
  <c r="BZ8" i="6"/>
  <c r="CK12" i="6"/>
  <c r="CU8" i="6"/>
  <c r="BB8" i="6"/>
  <c r="BM12" i="6"/>
  <c r="BU12" i="6"/>
  <c r="CP14" i="6"/>
  <c r="BJ11" i="6"/>
  <c r="BC14" i="6"/>
  <c r="BU14" i="6"/>
  <c r="CU10" i="6"/>
  <c r="BC12" i="6"/>
  <c r="BB10" i="6"/>
  <c r="BL8" i="6"/>
  <c r="BL10" i="6"/>
  <c r="BP14" i="6"/>
  <c r="BW14" i="6"/>
  <c r="CK14" i="6"/>
  <c r="BB14" i="6"/>
  <c r="BK6" i="6"/>
  <c r="BK14" i="6"/>
  <c r="BP12" i="6"/>
  <c r="BR14" i="6"/>
  <c r="BW12" i="6"/>
  <c r="CA14" i="6"/>
  <c r="CJ8" i="6"/>
  <c r="CJ10" i="6"/>
  <c r="CJ16" i="6" s="1"/>
  <c r="AL22" i="6" s="1"/>
  <c r="CP12" i="6"/>
  <c r="CT12" i="6"/>
  <c r="CV14" i="6"/>
  <c r="BB12" i="6"/>
  <c r="BK12" i="6"/>
  <c r="BM14" i="6"/>
  <c r="BR12" i="6"/>
  <c r="BV8" i="6"/>
  <c r="BV10" i="6"/>
  <c r="CA12" i="6"/>
  <c r="CO8" i="6"/>
  <c r="CO10" i="6"/>
  <c r="CV12" i="6"/>
  <c r="BF13" i="6"/>
  <c r="BB13" i="6"/>
  <c r="BB9" i="6"/>
  <c r="BG14" i="6"/>
  <c r="BB15" i="6"/>
  <c r="BB11" i="6"/>
  <c r="CI16" i="6"/>
  <c r="AG24" i="6" s="1"/>
  <c r="CH8" i="6" s="1"/>
  <c r="BC15" i="6"/>
  <c r="BC11" i="6"/>
  <c r="BK11" i="6"/>
  <c r="BM13" i="6"/>
  <c r="BK15" i="6"/>
  <c r="BP11" i="6"/>
  <c r="BR13" i="6"/>
  <c r="BP15" i="6"/>
  <c r="BU11" i="6"/>
  <c r="BW13" i="6"/>
  <c r="BU15" i="6"/>
  <c r="CB12" i="6"/>
  <c r="BZ14" i="6"/>
  <c r="CE8" i="6"/>
  <c r="CF12" i="6"/>
  <c r="CG15" i="6"/>
  <c r="CJ12" i="6"/>
  <c r="CL14" i="6"/>
  <c r="CO12" i="6"/>
  <c r="CQ14" i="6"/>
  <c r="CT11" i="6"/>
  <c r="CV13" i="6"/>
  <c r="CT15" i="6"/>
  <c r="BH13" i="6"/>
  <c r="BC13" i="6"/>
  <c r="BF7" i="6"/>
  <c r="BF15" i="6"/>
  <c r="BF9" i="6"/>
  <c r="BG11" i="6"/>
  <c r="BG8" i="6"/>
  <c r="BG10" i="6"/>
  <c r="BO16" i="6"/>
  <c r="M24" i="6" s="1"/>
  <c r="H29" i="7" s="1"/>
  <c r="BF12" i="6"/>
  <c r="CD16" i="6"/>
  <c r="AB24" i="6" s="1"/>
  <c r="N29" i="7" s="1"/>
  <c r="BF11" i="6"/>
  <c r="BZ16" i="6"/>
  <c r="AB22" i="6" s="1"/>
  <c r="CN16" i="6"/>
  <c r="AL24" i="6" s="1"/>
  <c r="BG12" i="6"/>
  <c r="BY16" i="6"/>
  <c r="W24" i="6" s="1"/>
  <c r="BX6" i="6" s="1"/>
  <c r="CX16" i="6"/>
  <c r="AV24" i="6" s="1"/>
  <c r="CF10" i="6"/>
  <c r="CE12" i="6"/>
  <c r="CG14" i="6"/>
  <c r="CE14" i="6"/>
  <c r="BV6" i="6"/>
  <c r="BT16" i="6"/>
  <c r="BS9" i="6" s="1"/>
  <c r="R4" i="6"/>
  <c r="BH14" i="6"/>
  <c r="C4" i="6"/>
  <c r="BB6" i="6"/>
  <c r="CW9" i="6"/>
  <c r="CW8" i="6"/>
  <c r="CW7" i="6"/>
  <c r="CW6" i="6"/>
  <c r="CR9" i="6"/>
  <c r="CR8" i="6"/>
  <c r="CR7" i="6"/>
  <c r="CR6" i="6"/>
  <c r="CM9" i="6"/>
  <c r="CM8" i="6"/>
  <c r="CM7" i="6"/>
  <c r="CM6" i="6"/>
  <c r="CH9" i="6"/>
  <c r="CH7" i="6"/>
  <c r="CC8" i="6"/>
  <c r="BX9" i="6"/>
  <c r="BX8" i="6"/>
  <c r="BS8" i="6"/>
  <c r="BN9" i="6"/>
  <c r="BJ16" i="6" l="1"/>
  <c r="H24" i="6" s="1"/>
  <c r="F29" i="7" s="1"/>
  <c r="BU16" i="6"/>
  <c r="W22" i="6" s="1"/>
  <c r="CC6" i="6"/>
  <c r="BX7" i="6"/>
  <c r="L29" i="7"/>
  <c r="CA16" i="6"/>
  <c r="AB18" i="6" s="1"/>
  <c r="BL16" i="6"/>
  <c r="R24" i="6"/>
  <c r="J29" i="7" s="1"/>
  <c r="H42" i="9"/>
  <c r="D43" i="9"/>
  <c r="E13" i="8"/>
  <c r="CP16" i="6"/>
  <c r="BE16" i="6"/>
  <c r="C24" i="6" s="1"/>
  <c r="D29" i="7" s="1"/>
  <c r="CS16" i="6"/>
  <c r="AQ24" i="6" s="1"/>
  <c r="CK16" i="6"/>
  <c r="BV16" i="6"/>
  <c r="W18" i="6" s="1"/>
  <c r="CU16" i="6"/>
  <c r="CO16" i="6"/>
  <c r="AQ22" i="6" s="1"/>
  <c r="CQ10" i="6" s="1"/>
  <c r="CT16" i="6"/>
  <c r="AV22" i="6" s="1"/>
  <c r="BK16" i="6"/>
  <c r="M22" i="6" s="1"/>
  <c r="BP16" i="6"/>
  <c r="R22" i="6" s="1"/>
  <c r="BB16" i="6"/>
  <c r="C18" i="6" s="1"/>
  <c r="CE16" i="6"/>
  <c r="AG22" i="6" s="1"/>
  <c r="CF16" i="6"/>
  <c r="BN8" i="6"/>
  <c r="BN7" i="6"/>
  <c r="BN6" i="6"/>
  <c r="BF16" i="6"/>
  <c r="H22" i="6" s="1"/>
  <c r="CC7" i="6"/>
  <c r="BG16" i="6"/>
  <c r="B3" i="6"/>
  <c r="CQ9" i="6"/>
  <c r="AL18" i="6"/>
  <c r="AL27" i="6" s="1"/>
  <c r="CH6" i="6"/>
  <c r="CH16" i="6" s="1"/>
  <c r="AG25" i="6" s="1"/>
  <c r="CC9" i="6"/>
  <c r="CV10" i="6"/>
  <c r="CV9" i="6"/>
  <c r="CL10" i="6"/>
  <c r="CL9" i="6"/>
  <c r="CG10" i="6"/>
  <c r="CG9" i="6"/>
  <c r="BI9" i="6"/>
  <c r="BI8" i="6"/>
  <c r="BI7" i="6"/>
  <c r="BI6" i="6"/>
  <c r="CW16" i="6"/>
  <c r="AV25" i="6" s="1"/>
  <c r="CR16" i="6"/>
  <c r="CM16" i="6"/>
  <c r="AL25" i="6" s="1"/>
  <c r="BX16" i="6"/>
  <c r="W25" i="6" s="1"/>
  <c r="L32" i="7" s="1"/>
  <c r="BD9" i="6"/>
  <c r="C22" i="6"/>
  <c r="BC10" i="6" s="1"/>
  <c r="B16" i="6"/>
  <c r="AQ18" i="6" l="1"/>
  <c r="BD8" i="6"/>
  <c r="BS7" i="6"/>
  <c r="BS6" i="6"/>
  <c r="AB27" i="6"/>
  <c r="M38" i="7" s="1"/>
  <c r="M29" i="7"/>
  <c r="W27" i="6"/>
  <c r="K38" i="7" s="1"/>
  <c r="K29" i="7"/>
  <c r="R18" i="6"/>
  <c r="I29" i="7" s="1"/>
  <c r="BD6" i="6"/>
  <c r="BD7" i="6"/>
  <c r="E14" i="8"/>
  <c r="D45" i="9"/>
  <c r="AQ25" i="6"/>
  <c r="AQ27" i="6"/>
  <c r="AV18" i="6"/>
  <c r="AV27" i="6" s="1"/>
  <c r="AG18" i="6"/>
  <c r="AG27" i="6" s="1"/>
  <c r="M18" i="6"/>
  <c r="G29" i="7" s="1"/>
  <c r="BN16" i="6"/>
  <c r="M25" i="6" s="1"/>
  <c r="H32" i="7" s="1"/>
  <c r="C27" i="6"/>
  <c r="C29" i="7"/>
  <c r="B24" i="6"/>
  <c r="B4" i="6"/>
  <c r="BH8" i="6"/>
  <c r="BH11" i="6"/>
  <c r="H18" i="6"/>
  <c r="BH9" i="6"/>
  <c r="CC16" i="6"/>
  <c r="AB25" i="6" s="1"/>
  <c r="N32" i="7" s="1"/>
  <c r="BH6" i="6"/>
  <c r="BH10" i="6"/>
  <c r="BH7" i="6"/>
  <c r="BM8" i="6"/>
  <c r="BI16" i="6"/>
  <c r="H25" i="6" s="1"/>
  <c r="F32" i="7" s="1"/>
  <c r="BM9" i="6"/>
  <c r="BM7" i="6"/>
  <c r="BC6" i="6"/>
  <c r="BC7" i="6"/>
  <c r="BC8" i="6"/>
  <c r="BC9" i="6"/>
  <c r="BS16" i="6" l="1"/>
  <c r="R25" i="6" s="1"/>
  <c r="J32" i="7" s="1"/>
  <c r="BD16" i="6"/>
  <c r="C25" i="6" s="1"/>
  <c r="D32" i="7" s="1"/>
  <c r="R27" i="6"/>
  <c r="I38" i="7" s="1"/>
  <c r="E19" i="8"/>
  <c r="D46" i="9"/>
  <c r="D47" i="9"/>
  <c r="M27" i="6"/>
  <c r="C36" i="6"/>
  <c r="C38" i="7"/>
  <c r="H27" i="6"/>
  <c r="E29" i="7"/>
  <c r="BH16" i="6"/>
  <c r="H20" i="6" s="1"/>
  <c r="E32" i="7" s="1"/>
  <c r="BM6" i="6"/>
  <c r="BM10" i="6"/>
  <c r="E20" i="8" l="1"/>
  <c r="E21" i="8"/>
  <c r="M36" i="6"/>
  <c r="G38" i="7"/>
  <c r="H36" i="6"/>
  <c r="E38" i="7"/>
  <c r="BM16" i="6"/>
  <c r="M20" i="6" s="1"/>
  <c r="G32" i="7" s="1"/>
  <c r="BR10" i="6"/>
  <c r="BR9" i="6"/>
  <c r="R36" i="6"/>
  <c r="BR8" i="6"/>
  <c r="BR7" i="6"/>
  <c r="BR6" i="6"/>
  <c r="BR16" i="6" l="1"/>
  <c r="R20" i="6" s="1"/>
  <c r="I32" i="7" s="1"/>
  <c r="W36" i="6" l="1"/>
  <c r="BW8" i="6" l="1"/>
  <c r="BW10" i="6"/>
  <c r="BW9" i="6"/>
  <c r="BW7" i="6"/>
  <c r="BW6" i="6"/>
  <c r="BW16" i="6" l="1"/>
  <c r="W20" i="6" s="1"/>
  <c r="K32" i="7" s="1"/>
  <c r="AB36" i="6"/>
  <c r="B36" i="6" s="1"/>
  <c r="CB8" i="6" l="1"/>
  <c r="CB10" i="6"/>
  <c r="CB9" i="6"/>
  <c r="CB6" i="6"/>
  <c r="CB7" i="6"/>
  <c r="BC16" i="6"/>
  <c r="C20" i="6" s="1"/>
  <c r="C32" i="7" s="1"/>
  <c r="CB16" i="6" l="1"/>
  <c r="AB20" i="6" l="1"/>
  <c r="M32" i="7" s="1"/>
  <c r="CG7" i="6"/>
  <c r="CG8" i="6" l="1"/>
  <c r="CG6" i="6"/>
  <c r="AG36" i="6"/>
  <c r="CG16" i="6" l="1"/>
  <c r="AG20" i="6" l="1"/>
  <c r="CL8" i="6"/>
  <c r="CL6" i="6"/>
  <c r="CL7" i="6"/>
  <c r="CL16" i="6" l="1"/>
  <c r="AL20" i="6" s="1"/>
  <c r="AL36" i="6"/>
  <c r="CQ8" i="6" l="1"/>
  <c r="CQ7" i="6"/>
  <c r="CQ6" i="6"/>
  <c r="AQ36" i="6"/>
  <c r="CQ16" i="6" l="1"/>
  <c r="AQ20" i="6" l="1"/>
  <c r="AV36" i="6"/>
  <c r="C45" i="6" s="1"/>
  <c r="J41" i="7" s="1"/>
  <c r="J45" i="7" s="1"/>
  <c r="CV8" i="6"/>
  <c r="R29" i="6" l="1"/>
  <c r="I35" i="7" s="1"/>
  <c r="C29" i="6"/>
  <c r="H29" i="6"/>
  <c r="AV29" i="6"/>
  <c r="AV31" i="6" s="1"/>
  <c r="AB29" i="6"/>
  <c r="M29" i="6"/>
  <c r="G35" i="7" s="1"/>
  <c r="AG29" i="6"/>
  <c r="AG31" i="6" s="1"/>
  <c r="AG38" i="6" s="1"/>
  <c r="W29" i="6"/>
  <c r="AQ29" i="6"/>
  <c r="AQ31" i="6" s="1"/>
  <c r="AL29" i="6"/>
  <c r="CV6" i="6"/>
  <c r="CV7" i="6"/>
  <c r="AB31" i="6" l="1"/>
  <c r="M35" i="7"/>
  <c r="W31" i="6"/>
  <c r="K35" i="7"/>
  <c r="R31" i="6"/>
  <c r="M31" i="6"/>
  <c r="H31" i="6"/>
  <c r="E35" i="7"/>
  <c r="C31" i="6"/>
  <c r="C35" i="7"/>
  <c r="AQ38" i="6"/>
  <c r="AL31" i="6"/>
  <c r="AL38" i="6" s="1"/>
  <c r="CV16" i="6"/>
  <c r="AV20" i="6" s="1"/>
  <c r="AV38" i="6" s="1"/>
  <c r="AB38" i="6" l="1"/>
  <c r="N35" i="7"/>
  <c r="W38" i="6"/>
  <c r="L35" i="7"/>
  <c r="R38" i="6"/>
  <c r="J35" i="7"/>
  <c r="M38" i="6"/>
  <c r="H35" i="7"/>
  <c r="H38" i="6"/>
  <c r="F35" i="7"/>
  <c r="C38" i="6"/>
  <c r="D35" i="7"/>
  <c r="B38" i="6" l="1"/>
  <c r="B47" i="6" s="1"/>
  <c r="J42" i="7" s="1"/>
  <c r="B48" i="6" l="1"/>
  <c r="J43" i="7" s="1"/>
  <c r="B49" i="6"/>
  <c r="J44" i="7" s="1"/>
</calcChain>
</file>

<file path=xl/sharedStrings.xml><?xml version="1.0" encoding="utf-8"?>
<sst xmlns="http://schemas.openxmlformats.org/spreadsheetml/2006/main" count="386" uniqueCount="155">
  <si>
    <t>УРОВНИ</t>
  </si>
  <si>
    <t>Хронометраж</t>
  </si>
  <si>
    <t>Число операций</t>
  </si>
  <si>
    <t>10^</t>
  </si>
  <si>
    <t>dl^2</t>
  </si>
  <si>
    <t>dt^2</t>
  </si>
  <si>
    <t>ОПЕРАЦИЯ №</t>
  </si>
  <si>
    <t>Всего измерений операции</t>
  </si>
  <si>
    <t>непустое</t>
  </si>
  <si>
    <t>Операция 1</t>
  </si>
  <si>
    <t>Среднеарифметическое значение продолжительности операции, Tm</t>
  </si>
  <si>
    <t>Стандартная неопределенность продолжительности операции, u1bm</t>
  </si>
  <si>
    <t>Эквивалентный уровень операции, Lp,AeqT,m</t>
  </si>
  <si>
    <r>
      <t xml:space="preserve">Среднеарифметические значения уровня  операции, </t>
    </r>
    <r>
      <rPr>
        <sz val="10"/>
        <rFont val="Calibri"/>
        <family val="2"/>
        <charset val="204"/>
      </rPr>
      <t>Ḹ</t>
    </r>
    <r>
      <rPr>
        <sz val="10"/>
        <rFont val="Arial Cyr"/>
        <charset val="204"/>
      </rPr>
      <t>p,AeqT,m</t>
    </r>
  </si>
  <si>
    <t>Стандартная неопределенность эквивалентного уровня операции, u1am</t>
  </si>
  <si>
    <t>Уровень экспозиции шума операции за 8 часов, LEX,8h,m</t>
  </si>
  <si>
    <t>Коэффициент чувствительности уровня, c1am</t>
  </si>
  <si>
    <t>Коэффициент чувствительности  хронометража, c1bm</t>
  </si>
  <si>
    <t>Операция  № 1</t>
  </si>
  <si>
    <t>Измерение №1</t>
  </si>
  <si>
    <t>Измерение №2</t>
  </si>
  <si>
    <t>Измерение №3</t>
  </si>
  <si>
    <t>Измерение №4</t>
  </si>
  <si>
    <t>Измерение №5</t>
  </si>
  <si>
    <t>Измерение №6</t>
  </si>
  <si>
    <t>Измерение №7</t>
  </si>
  <si>
    <t>Измерение №8</t>
  </si>
  <si>
    <t>Измерение №9</t>
  </si>
  <si>
    <t>Измерение №10</t>
  </si>
  <si>
    <t>Операция 2</t>
  </si>
  <si>
    <t>Операция 3</t>
  </si>
  <si>
    <t>сумма степеней  LEX8h,m  для вычисления LEX8h</t>
  </si>
  <si>
    <t>сумма квадратов стандартных неопределенностей операций</t>
  </si>
  <si>
    <t>стандартная неопределенность инструментальной составляющей, u2,m</t>
  </si>
  <si>
    <t>Итоговое значение, LEX8h</t>
  </si>
  <si>
    <t>стандартная неопределенность установки микрофона, u3</t>
  </si>
  <si>
    <t>Операция  № 3</t>
  </si>
  <si>
    <t>Операция  № 4</t>
  </si>
  <si>
    <t>Операция  № 5</t>
  </si>
  <si>
    <t>Операция  № 6</t>
  </si>
  <si>
    <t>Операция  № 7</t>
  </si>
  <si>
    <t>Операция  № 8</t>
  </si>
  <si>
    <t>Операция  № 9</t>
  </si>
  <si>
    <t>Операция  № 10</t>
  </si>
  <si>
    <t>Операция 4</t>
  </si>
  <si>
    <t>Операция 5</t>
  </si>
  <si>
    <t>Операция6</t>
  </si>
  <si>
    <t>Операция 7</t>
  </si>
  <si>
    <t>Операция 8</t>
  </si>
  <si>
    <t>Операция 9</t>
  </si>
  <si>
    <t>Операция 10</t>
  </si>
  <si>
    <t>Стандартная неопределенность u(LEX8h)</t>
  </si>
  <si>
    <t>Расширенная  неопределенность  U(LEX8h), P =95%</t>
  </si>
  <si>
    <t>Расширенная односторонняя неопределенность  U(LEX8h), P(-ДУ) =95%</t>
  </si>
  <si>
    <t>ОПЕРАЦИЯ 1</t>
  </si>
  <si>
    <t>Уровень</t>
  </si>
  <si>
    <t>Номер</t>
  </si>
  <si>
    <t>Измерения</t>
  </si>
  <si>
    <t>ОПЕРАЦИЯ 2</t>
  </si>
  <si>
    <t>ОПЕРАЦИЯ 3</t>
  </si>
  <si>
    <t>ОПЕРАЦИЯ 4</t>
  </si>
  <si>
    <t>ОПЕРАЦИЯ 5</t>
  </si>
  <si>
    <t>ОПЕРАЦИЯ 6</t>
  </si>
  <si>
    <t>ОПЕРАЦИЯ 7</t>
  </si>
  <si>
    <t>ОПЕРАЦИЯ 8</t>
  </si>
  <si>
    <t>ОПЕРАЦИЯ 9</t>
  </si>
  <si>
    <t>ОПЕРАЦИЯ 10</t>
  </si>
  <si>
    <t>Калькулятор величины и неопределенности эквивалентного уровня звука за смену LEX,8h по ГОСТ Р ИСО 9612-2013</t>
  </si>
  <si>
    <t xml:space="preserve">1. </t>
  </si>
  <si>
    <t xml:space="preserve">2. </t>
  </si>
  <si>
    <t>дБ</t>
  </si>
  <si>
    <t>мин</t>
  </si>
  <si>
    <t xml:space="preserve">3. </t>
  </si>
  <si>
    <t>Для каждой операции ввести в столбец значения отдельных измерений эквивалентного уровня этой операции операции, (Lp,AeqT,mi – по ГОСТ Р ИСО 9612). Предусмотрено до 10-ти измерений каждой операции</t>
  </si>
  <si>
    <t>Если число измерений операции меньше10-ти, ввести тоько измеренные значения, остальные ячейки столбца остаются пустыми</t>
  </si>
  <si>
    <t xml:space="preserve">4. </t>
  </si>
  <si>
    <t>Для каждой операции ввести в столбец значения отдельных измерений ее продолжительности (Tmi - по ГОСТ Р ИСО 9612).</t>
  </si>
  <si>
    <t>5.</t>
  </si>
  <si>
    <t>Если число измерений продолжительности операции меньше10-ти, ввести тоько измеренные значения, остальные ячейки столбца остаются пустыми</t>
  </si>
  <si>
    <t xml:space="preserve">6. </t>
  </si>
  <si>
    <t>Если измерения продолжительности операции не проводились, а известны  максимальное и минимальное значения продолжительности операции, ввести их в две первые строчки столбца.</t>
  </si>
  <si>
    <t>Средние для операции</t>
  </si>
  <si>
    <t>LEXm</t>
  </si>
  <si>
    <t>Tm</t>
  </si>
  <si>
    <t>Ст. неопределенность</t>
  </si>
  <si>
    <t>u1am</t>
  </si>
  <si>
    <t>u1bm</t>
  </si>
  <si>
    <t>Коэф. чувствительности</t>
  </si>
  <si>
    <t>Уровень экспозиции 8ч</t>
  </si>
  <si>
    <t>c1am</t>
  </si>
  <si>
    <t>c1bm</t>
  </si>
  <si>
    <t>Lex8h,m</t>
  </si>
  <si>
    <t>Результаты для операции</t>
  </si>
  <si>
    <t>7.</t>
  </si>
  <si>
    <t xml:space="preserve"> Если число операция меньше предусмотренных калькулятором 10-ти операций, оставшиеся поля значений должны оставаться пустыми</t>
  </si>
  <si>
    <t>Результаты для смены</t>
  </si>
  <si>
    <t>Эквивалентный уровень смены LEX8h</t>
  </si>
  <si>
    <t>Исходные данные</t>
  </si>
  <si>
    <t>8.</t>
  </si>
  <si>
    <t>Расширенная односторонняя неопределенность  U(LEX8h), P( меньше ДУ) =95%</t>
  </si>
  <si>
    <t>Погрешн. СИ</t>
  </si>
  <si>
    <t>Расчетный лист трудовой функции.</t>
  </si>
  <si>
    <t>Выбор общего времени</t>
  </si>
  <si>
    <t>Число членов группы</t>
  </si>
  <si>
    <t xml:space="preserve"> &lt;5</t>
  </si>
  <si>
    <t>5&lt;&lt;15</t>
  </si>
  <si>
    <t>15&lt;&lt;49</t>
  </si>
  <si>
    <t>&gt;40</t>
  </si>
  <si>
    <t>Число выборочных измерений</t>
  </si>
  <si>
    <t>Общее время измерений, часов</t>
  </si>
  <si>
    <t>Продолжительность одного измерения, минут</t>
  </si>
  <si>
    <t>Среднее значение уровня выборочного измерения, дБ</t>
  </si>
  <si>
    <t>Результаты выборочных измерений Lp,A,eqT,n,  дБ</t>
  </si>
  <si>
    <t>Эффективная длительность рабочего дня, час</t>
  </si>
  <si>
    <t>Нормируемый параметр за 8 часов, LEX8h, дБ</t>
  </si>
  <si>
    <t>Вклад статистической составляющей, c1u1</t>
  </si>
  <si>
    <t>Вклад приборно-методической, C2^2(u2^2+u3^2)</t>
  </si>
  <si>
    <t>Приборная погрешность, дБ</t>
  </si>
  <si>
    <t>Неопределенность установки микрофона, дБ</t>
  </si>
  <si>
    <t>Среднеарифметическое значение уровня, дБ</t>
  </si>
  <si>
    <t>Стандартное отклонение уровня</t>
  </si>
  <si>
    <t>Стандартная неопределенность LEX8h</t>
  </si>
  <si>
    <t>Расширенная односторонняя неопределенность</t>
  </si>
  <si>
    <t>Расширенная неопределенность</t>
  </si>
  <si>
    <t>Результаты промежуточные</t>
  </si>
  <si>
    <t>Ввести число членов рабочей группы, калькулятор рассчитает минимальное общее время измерения</t>
  </si>
  <si>
    <t>С учетом общего времени измерения ввести число выборочных измерений, калькулятор оассчитает продолжительность одного измерения</t>
  </si>
  <si>
    <t>Ввести результаты выборочных измерений</t>
  </si>
  <si>
    <t>Ввести эффективную продолжительность смены.</t>
  </si>
  <si>
    <t>Результаты итоговые</t>
  </si>
  <si>
    <t>Приборная погрешность</t>
  </si>
  <si>
    <t>Ввести приборную погрешность СИ</t>
  </si>
  <si>
    <t>Расширенная  неопределенность  U_(LEX8h), P( меньше ДУ) =95%</t>
  </si>
  <si>
    <t>Число членов рабочей группы</t>
  </si>
  <si>
    <t>Составляющая неопределенности прибор+микрофон, C2^2(u2^2+u3^2)</t>
  </si>
  <si>
    <t>Статистическая составляющая, c1u1</t>
  </si>
  <si>
    <t>Стратегия на основе трудовой функции. В калькуляторе предусмотрено до 20 выборочных измерений.</t>
  </si>
  <si>
    <t>Стандартное отклонение уровня выборочных измерений</t>
  </si>
  <si>
    <t>α=</t>
  </si>
  <si>
    <t>n-1 =</t>
  </si>
  <si>
    <t>Степени свободы, n-размер выборки</t>
  </si>
  <si>
    <t>Вероятность,  что не попадет в интервал</t>
  </si>
  <si>
    <t xml:space="preserve">t </t>
  </si>
  <si>
    <t>Стратегия на основе рабочей операции. В калькуляторе предусмотрено до 10 операций в течение рабочей смены.</t>
  </si>
  <si>
    <t>Очистить значения предыдущего ввода (серое поле)</t>
  </si>
  <si>
    <t xml:space="preserve"> </t>
  </si>
  <si>
    <t>Сокращенный вариант калькулятора стратегии трудовой функции</t>
  </si>
  <si>
    <t xml:space="preserve"> мин</t>
  </si>
  <si>
    <t>Длительность</t>
  </si>
  <si>
    <t>Учет неопределенности хронометража ведется автоматически. Если в исходных данных хронометража введено 2 одинаковых значения, то вклад неопределенности хронометража принимается несущественным.</t>
  </si>
  <si>
    <t>Эквивалентный уровень для фактической продолжительности смены</t>
  </si>
  <si>
    <t>часов</t>
  </si>
  <si>
    <t>u</t>
  </si>
  <si>
    <t>Стратегия на основе рабочей смены. В калькуляторе предусмотрено до 20 выборочных измерений.</t>
  </si>
  <si>
    <t>Калькулятор величины и неопределенности эквивалентного уровня звука за смену LEX,8h по ГОСТISO 9612-2016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</si>
</sst>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0"/>
      <name val="Arial Cyr"/>
      <charset val="204"/>
    </font>
    <font>
      <sz val="10"/>
      <name val="Calibri"/>
      <family val="2"/>
      <charset val="204"/>
    </font>
    <font>
      <sz val="10"/>
      <color rgb="FFFF000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11" xfId="0" applyBorder="1"/>
    <xf numFmtId="0" fontId="0" fillId="4" borderId="0" xfId="0" applyFill="1"/>
    <xf numFmtId="0" fontId="0" fillId="4" borderId="11" xfId="0" applyFill="1" applyBorder="1"/>
    <xf numFmtId="0" fontId="0" fillId="4" borderId="2" xfId="0" applyFill="1" applyBorder="1"/>
    <xf numFmtId="164" fontId="0" fillId="4" borderId="0" xfId="0" applyNumberFormat="1" applyFill="1"/>
    <xf numFmtId="0" fontId="0" fillId="3" borderId="0" xfId="0" applyFill="1"/>
    <xf numFmtId="0" fontId="0" fillId="3" borderId="11" xfId="0" applyFill="1" applyBorder="1"/>
    <xf numFmtId="0" fontId="0" fillId="3" borderId="2" xfId="0" applyFill="1" applyBorder="1"/>
    <xf numFmtId="164" fontId="0" fillId="3" borderId="0" xfId="0" applyNumberFormat="1" applyFill="1"/>
    <xf numFmtId="0" fontId="0" fillId="2" borderId="2" xfId="0" applyFill="1" applyBorder="1"/>
    <xf numFmtId="164" fontId="0" fillId="0" borderId="0" xfId="0" applyNumberFormat="1" applyFill="1"/>
    <xf numFmtId="0" fontId="0" fillId="0" borderId="0" xfId="0" applyFill="1"/>
    <xf numFmtId="0" fontId="0" fillId="6" borderId="0" xfId="0" applyFill="1"/>
    <xf numFmtId="0" fontId="0" fillId="6" borderId="11" xfId="0" applyFill="1" applyBorder="1"/>
    <xf numFmtId="0" fontId="0" fillId="6" borderId="2" xfId="0" applyFill="1" applyBorder="1"/>
    <xf numFmtId="164" fontId="0" fillId="6" borderId="0" xfId="0" applyNumberFormat="1" applyFill="1"/>
    <xf numFmtId="0" fontId="2" fillId="0" borderId="0" xfId="0" applyFont="1" applyFill="1"/>
    <xf numFmtId="0" fontId="0" fillId="0" borderId="12" xfId="0" applyBorder="1"/>
    <xf numFmtId="0" fontId="0" fillId="0" borderId="13" xfId="0" applyBorder="1"/>
    <xf numFmtId="0" fontId="0" fillId="4" borderId="0" xfId="0" applyFill="1" applyBorder="1"/>
    <xf numFmtId="1" fontId="0" fillId="0" borderId="0" xfId="0" applyNumberFormat="1"/>
    <xf numFmtId="1" fontId="0" fillId="6" borderId="0" xfId="0" applyNumberFormat="1" applyFill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/>
    <xf numFmtId="0" fontId="0" fillId="0" borderId="7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5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6" xfId="0" applyFont="1" applyFill="1" applyBorder="1"/>
    <xf numFmtId="0" fontId="4" fillId="5" borderId="16" xfId="0" applyFont="1" applyFill="1" applyBorder="1"/>
    <xf numFmtId="0" fontId="0" fillId="5" borderId="17" xfId="0" applyFill="1" applyBorder="1"/>
    <xf numFmtId="0" fontId="4" fillId="5" borderId="3" xfId="0" applyFont="1" applyFill="1" applyBorder="1"/>
    <xf numFmtId="0" fontId="0" fillId="5" borderId="4" xfId="0" applyFill="1" applyBorder="1"/>
    <xf numFmtId="0" fontId="0" fillId="5" borderId="18" xfId="0" applyFill="1" applyBorder="1"/>
    <xf numFmtId="0" fontId="0" fillId="0" borderId="19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0" xfId="0" applyAlignment="1"/>
    <xf numFmtId="0" fontId="5" fillId="3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/>
    <xf numFmtId="2" fontId="0" fillId="0" borderId="0" xfId="0" applyNumberFormat="1"/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8" xfId="0" applyFont="1" applyBorder="1"/>
    <xf numFmtId="0" fontId="4" fillId="3" borderId="0" xfId="0" applyFont="1" applyFill="1" applyBorder="1"/>
    <xf numFmtId="165" fontId="0" fillId="0" borderId="0" xfId="0" applyNumberFormat="1"/>
    <xf numFmtId="0" fontId="0" fillId="5" borderId="5" xfId="0" applyFill="1" applyBorder="1"/>
    <xf numFmtId="165" fontId="3" fillId="0" borderId="18" xfId="0" applyNumberFormat="1" applyFont="1" applyBorder="1"/>
    <xf numFmtId="0" fontId="4" fillId="5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wrapText="1"/>
    </xf>
    <xf numFmtId="165" fontId="8" fillId="0" borderId="7" xfId="0" applyNumberFormat="1" applyFont="1" applyBorder="1"/>
    <xf numFmtId="165" fontId="8" fillId="0" borderId="10" xfId="0" applyNumberFormat="1" applyFont="1" applyBorder="1"/>
    <xf numFmtId="165" fontId="8" fillId="7" borderId="24" xfId="0" applyNumberFormat="1" applyFont="1" applyFill="1" applyBorder="1"/>
    <xf numFmtId="165" fontId="0" fillId="0" borderId="0" xfId="0" applyNumberForma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28" xfId="0" applyBorder="1"/>
    <xf numFmtId="0" fontId="3" fillId="0" borderId="7" xfId="0" applyFont="1" applyBorder="1"/>
    <xf numFmtId="0" fontId="4" fillId="5" borderId="17" xfId="0" applyFont="1" applyFill="1" applyBorder="1" applyAlignment="1">
      <alignment horizontal="center"/>
    </xf>
    <xf numFmtId="0" fontId="4" fillId="3" borderId="9" xfId="0" applyFont="1" applyFill="1" applyBorder="1"/>
    <xf numFmtId="0" fontId="0" fillId="0" borderId="29" xfId="0" applyBorder="1"/>
    <xf numFmtId="0" fontId="0" fillId="0" borderId="31" xfId="0" applyBorder="1"/>
    <xf numFmtId="0" fontId="0" fillId="0" borderId="33" xfId="0" applyBorder="1"/>
    <xf numFmtId="0" fontId="0" fillId="0" borderId="36" xfId="0" applyBorder="1"/>
    <xf numFmtId="0" fontId="9" fillId="6" borderId="24" xfId="0" applyFont="1" applyFill="1" applyBorder="1"/>
    <xf numFmtId="0" fontId="9" fillId="6" borderId="30" xfId="0" applyFont="1" applyFill="1" applyBorder="1"/>
    <xf numFmtId="0" fontId="9" fillId="6" borderId="34" xfId="0" applyFont="1" applyFill="1" applyBorder="1"/>
    <xf numFmtId="0" fontId="9" fillId="6" borderId="35" xfId="0" applyFont="1" applyFill="1" applyBorder="1"/>
    <xf numFmtId="0" fontId="9" fillId="6" borderId="37" xfId="0" applyFont="1" applyFill="1" applyBorder="1"/>
    <xf numFmtId="0" fontId="9" fillId="6" borderId="32" xfId="0" applyFont="1" applyFill="1" applyBorder="1"/>
    <xf numFmtId="0" fontId="9" fillId="0" borderId="7" xfId="0" applyFont="1" applyBorder="1"/>
    <xf numFmtId="0" fontId="9" fillId="0" borderId="10" xfId="0" applyFont="1" applyFill="1" applyBorder="1"/>
    <xf numFmtId="0" fontId="9" fillId="6" borderId="14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" fillId="0" borderId="0" xfId="0" applyFont="1"/>
    <xf numFmtId="0" fontId="8" fillId="0" borderId="4" xfId="0" applyFont="1" applyBorder="1"/>
    <xf numFmtId="0" fontId="9" fillId="0" borderId="4" xfId="0" applyFont="1" applyBorder="1"/>
    <xf numFmtId="0" fontId="8" fillId="0" borderId="3" xfId="0" applyFont="1" applyBorder="1"/>
    <xf numFmtId="0" fontId="9" fillId="6" borderId="7" xfId="0" applyFont="1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165" fontId="10" fillId="0" borderId="38" xfId="0" applyNumberFormat="1" applyFont="1" applyBorder="1"/>
    <xf numFmtId="0" fontId="4" fillId="6" borderId="1" xfId="0" applyFont="1" applyFill="1" applyBorder="1"/>
    <xf numFmtId="0" fontId="4" fillId="3" borderId="22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165" fontId="10" fillId="0" borderId="39" xfId="0" applyNumberFormat="1" applyFont="1" applyFill="1" applyBorder="1"/>
    <xf numFmtId="165" fontId="10" fillId="0" borderId="39" xfId="0" applyNumberFormat="1" applyFont="1" applyBorder="1"/>
    <xf numFmtId="0" fontId="10" fillId="0" borderId="18" xfId="0" applyFont="1" applyFill="1" applyBorder="1"/>
    <xf numFmtId="0" fontId="10" fillId="6" borderId="17" xfId="0" applyFont="1" applyFill="1" applyBorder="1" applyAlignment="1">
      <alignment horizontal="center"/>
    </xf>
    <xf numFmtId="0" fontId="10" fillId="0" borderId="39" xfId="0" applyFont="1" applyFill="1" applyBorder="1"/>
    <xf numFmtId="0" fontId="10" fillId="6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6" borderId="34" xfId="0" applyFont="1" applyFill="1" applyBorder="1" applyProtection="1"/>
    <xf numFmtId="0" fontId="9" fillId="6" borderId="14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zoomScale="80" zoomScaleNormal="80" workbookViewId="0">
      <selection activeCell="L15" sqref="L15"/>
    </sheetView>
  </sheetViews>
  <sheetFormatPr defaultRowHeight="13.2" x14ac:dyDescent="0.25"/>
  <cols>
    <col min="1" max="1" width="13" customWidth="1"/>
    <col min="2" max="2" width="11.6640625" customWidth="1"/>
    <col min="4" max="4" width="12.21875" customWidth="1"/>
    <col min="6" max="6" width="12.77734375" customWidth="1"/>
    <col min="8" max="8" width="12.5546875" customWidth="1"/>
    <col min="10" max="10" width="12.33203125" customWidth="1"/>
    <col min="12" max="12" width="12" customWidth="1"/>
    <col min="14" max="14" width="12.109375" customWidth="1"/>
    <col min="16" max="16" width="12.44140625" customWidth="1"/>
    <col min="18" max="18" width="12.109375" customWidth="1"/>
    <col min="20" max="20" width="11.77734375" customWidth="1"/>
    <col min="22" max="22" width="13.33203125" customWidth="1"/>
  </cols>
  <sheetData>
    <row r="1" spans="1:22" ht="3.6" customHeight="1" thickBot="1" x14ac:dyDescent="0.3"/>
    <row r="2" spans="1:22" ht="17.399999999999999" x14ac:dyDescent="0.3">
      <c r="B2" s="4"/>
      <c r="C2" s="122" t="s">
        <v>154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5"/>
      <c r="Q2" s="6"/>
    </row>
    <row r="3" spans="1:22" ht="18" thickBot="1" x14ac:dyDescent="0.35">
      <c r="B3" s="10"/>
      <c r="C3" s="79" t="s">
        <v>143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22" x14ac:dyDescent="0.25">
      <c r="B4" t="s">
        <v>68</v>
      </c>
      <c r="C4" t="s">
        <v>144</v>
      </c>
    </row>
    <row r="5" spans="1:22" x14ac:dyDescent="0.25">
      <c r="B5" t="s">
        <v>69</v>
      </c>
      <c r="C5" t="s">
        <v>73</v>
      </c>
    </row>
    <row r="6" spans="1:22" x14ac:dyDescent="0.25">
      <c r="B6" t="s">
        <v>72</v>
      </c>
      <c r="C6" t="s">
        <v>74</v>
      </c>
    </row>
    <row r="7" spans="1:22" x14ac:dyDescent="0.25">
      <c r="B7" t="s">
        <v>75</v>
      </c>
      <c r="C7" t="s">
        <v>76</v>
      </c>
    </row>
    <row r="8" spans="1:22" x14ac:dyDescent="0.25">
      <c r="B8" t="s">
        <v>77</v>
      </c>
      <c r="C8" t="s">
        <v>78</v>
      </c>
    </row>
    <row r="9" spans="1:22" x14ac:dyDescent="0.25">
      <c r="B9" t="s">
        <v>79</v>
      </c>
      <c r="C9" t="s">
        <v>80</v>
      </c>
    </row>
    <row r="10" spans="1:22" x14ac:dyDescent="0.25">
      <c r="B10" t="s">
        <v>93</v>
      </c>
      <c r="C10" t="s">
        <v>149</v>
      </c>
    </row>
    <row r="11" spans="1:22" ht="13.8" thickBot="1" x14ac:dyDescent="0.3">
      <c r="B11" t="s">
        <v>98</v>
      </c>
      <c r="C11" t="s">
        <v>94</v>
      </c>
    </row>
    <row r="12" spans="1:22" ht="15.6" thickBot="1" x14ac:dyDescent="0.3">
      <c r="A12" s="54" t="s">
        <v>97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8"/>
    </row>
    <row r="13" spans="1:22" s="63" customFormat="1" x14ac:dyDescent="0.25">
      <c r="A13" s="59" t="s">
        <v>56</v>
      </c>
      <c r="B13" s="42" t="s">
        <v>100</v>
      </c>
      <c r="C13" s="60" t="s">
        <v>54</v>
      </c>
      <c r="D13" s="61"/>
      <c r="E13" s="60" t="s">
        <v>58</v>
      </c>
      <c r="F13" s="61"/>
      <c r="G13" s="60" t="s">
        <v>59</v>
      </c>
      <c r="H13" s="61"/>
      <c r="I13" s="60" t="s">
        <v>60</v>
      </c>
      <c r="J13" s="61"/>
      <c r="K13" s="60" t="s">
        <v>61</v>
      </c>
      <c r="L13" s="61"/>
      <c r="M13" s="60" t="s">
        <v>62</v>
      </c>
      <c r="N13" s="61"/>
      <c r="O13" s="60" t="s">
        <v>63</v>
      </c>
      <c r="P13" s="61"/>
      <c r="Q13" s="60" t="s">
        <v>64</v>
      </c>
      <c r="R13" s="61"/>
      <c r="S13" s="60" t="s">
        <v>65</v>
      </c>
      <c r="T13" s="62"/>
      <c r="U13" s="60" t="s">
        <v>66</v>
      </c>
      <c r="V13" s="61"/>
    </row>
    <row r="14" spans="1:22" x14ac:dyDescent="0.25">
      <c r="A14" s="43" t="s">
        <v>57</v>
      </c>
      <c r="B14" s="76">
        <v>0.7</v>
      </c>
      <c r="C14" s="7" t="s">
        <v>55</v>
      </c>
      <c r="D14" s="9" t="s">
        <v>148</v>
      </c>
      <c r="E14" s="7" t="s">
        <v>55</v>
      </c>
      <c r="F14" s="9" t="s">
        <v>148</v>
      </c>
      <c r="G14" s="7" t="s">
        <v>55</v>
      </c>
      <c r="H14" s="9" t="s">
        <v>148</v>
      </c>
      <c r="I14" s="7" t="s">
        <v>55</v>
      </c>
      <c r="J14" s="9" t="s">
        <v>148</v>
      </c>
      <c r="K14" s="7" t="s">
        <v>55</v>
      </c>
      <c r="L14" s="9" t="s">
        <v>148</v>
      </c>
      <c r="M14" s="7" t="s">
        <v>55</v>
      </c>
      <c r="N14" s="9" t="s">
        <v>148</v>
      </c>
      <c r="O14" s="7" t="s">
        <v>55</v>
      </c>
      <c r="P14" s="9" t="s">
        <v>148</v>
      </c>
      <c r="Q14" s="7" t="s">
        <v>55</v>
      </c>
      <c r="R14" s="9" t="s">
        <v>148</v>
      </c>
      <c r="S14" s="7" t="s">
        <v>55</v>
      </c>
      <c r="T14" s="9" t="s">
        <v>148</v>
      </c>
      <c r="U14" s="7" t="s">
        <v>55</v>
      </c>
      <c r="V14" s="9" t="s">
        <v>148</v>
      </c>
    </row>
    <row r="15" spans="1:22" ht="13.8" thickBot="1" x14ac:dyDescent="0.3">
      <c r="A15" s="43"/>
      <c r="B15" s="40"/>
      <c r="C15" s="77" t="s">
        <v>70</v>
      </c>
      <c r="D15" s="78" t="s">
        <v>71</v>
      </c>
      <c r="E15" s="77" t="s">
        <v>70</v>
      </c>
      <c r="F15" s="78" t="s">
        <v>71</v>
      </c>
      <c r="G15" s="77" t="s">
        <v>70</v>
      </c>
      <c r="H15" s="78" t="s">
        <v>71</v>
      </c>
      <c r="I15" s="77" t="s">
        <v>70</v>
      </c>
      <c r="J15" s="78" t="s">
        <v>71</v>
      </c>
      <c r="K15" s="77" t="s">
        <v>70</v>
      </c>
      <c r="L15" s="78" t="s">
        <v>147</v>
      </c>
      <c r="M15" s="77" t="s">
        <v>70</v>
      </c>
      <c r="N15" s="78" t="s">
        <v>71</v>
      </c>
      <c r="O15" s="77" t="s">
        <v>70</v>
      </c>
      <c r="P15" s="78" t="s">
        <v>71</v>
      </c>
      <c r="Q15" s="77" t="s">
        <v>70</v>
      </c>
      <c r="R15" s="78" t="s">
        <v>71</v>
      </c>
      <c r="S15" s="77" t="s">
        <v>70</v>
      </c>
      <c r="T15" s="78" t="s">
        <v>71</v>
      </c>
      <c r="U15" s="77" t="s">
        <v>70</v>
      </c>
      <c r="V15" s="78" t="s">
        <v>71</v>
      </c>
    </row>
    <row r="16" spans="1:22" x14ac:dyDescent="0.25">
      <c r="A16" s="43">
        <v>1</v>
      </c>
      <c r="B16" s="40"/>
      <c r="C16" s="143">
        <v>60</v>
      </c>
      <c r="D16" s="144">
        <v>120</v>
      </c>
      <c r="E16" s="143">
        <v>72</v>
      </c>
      <c r="F16" s="144">
        <v>120</v>
      </c>
      <c r="G16" s="143">
        <v>65</v>
      </c>
      <c r="H16" s="144">
        <v>120</v>
      </c>
      <c r="I16" s="143">
        <v>67</v>
      </c>
      <c r="J16" s="144">
        <v>120</v>
      </c>
      <c r="K16" s="143"/>
      <c r="L16" s="144"/>
      <c r="M16" s="143"/>
      <c r="N16" s="144"/>
      <c r="O16" s="118"/>
      <c r="P16" s="119"/>
      <c r="Q16" s="118"/>
      <c r="R16" s="119"/>
      <c r="S16" s="118"/>
      <c r="T16" s="119"/>
      <c r="U16" s="73"/>
      <c r="V16" s="74"/>
    </row>
    <row r="17" spans="1:22" x14ac:dyDescent="0.25">
      <c r="A17" s="43">
        <v>2</v>
      </c>
      <c r="B17" s="40"/>
      <c r="C17" s="145">
        <v>61</v>
      </c>
      <c r="D17" s="144">
        <v>120</v>
      </c>
      <c r="E17" s="145">
        <v>70</v>
      </c>
      <c r="F17" s="144">
        <v>120</v>
      </c>
      <c r="G17" s="145">
        <v>66</v>
      </c>
      <c r="H17" s="144">
        <v>120</v>
      </c>
      <c r="I17" s="145">
        <v>69</v>
      </c>
      <c r="J17" s="144">
        <v>120</v>
      </c>
      <c r="K17" s="145"/>
      <c r="L17" s="144"/>
      <c r="M17" s="145"/>
      <c r="N17" s="144"/>
      <c r="O17" s="120"/>
      <c r="P17" s="119"/>
      <c r="Q17" s="120"/>
      <c r="R17" s="119"/>
      <c r="S17" s="120"/>
      <c r="T17" s="119"/>
      <c r="U17" s="75"/>
      <c r="V17" s="74"/>
    </row>
    <row r="18" spans="1:22" x14ac:dyDescent="0.25">
      <c r="A18" s="43">
        <v>3</v>
      </c>
      <c r="B18" s="40"/>
      <c r="C18" s="145">
        <v>62</v>
      </c>
      <c r="D18" s="144"/>
      <c r="E18" s="145">
        <v>72</v>
      </c>
      <c r="F18" s="144"/>
      <c r="G18" s="145">
        <v>67</v>
      </c>
      <c r="H18" s="144"/>
      <c r="I18" s="145">
        <v>69</v>
      </c>
      <c r="J18" s="144"/>
      <c r="K18" s="145"/>
      <c r="L18" s="144"/>
      <c r="M18" s="145"/>
      <c r="N18" s="144"/>
      <c r="O18" s="120"/>
      <c r="P18" s="119"/>
      <c r="Q18" s="120"/>
      <c r="R18" s="119"/>
      <c r="S18" s="120"/>
      <c r="T18" s="119"/>
      <c r="U18" s="75"/>
      <c r="V18" s="74"/>
    </row>
    <row r="19" spans="1:22" x14ac:dyDescent="0.25">
      <c r="A19" s="43">
        <v>4</v>
      </c>
      <c r="B19" s="40"/>
      <c r="C19" s="145"/>
      <c r="D19" s="144"/>
      <c r="E19" s="145"/>
      <c r="F19" s="144"/>
      <c r="G19" s="145"/>
      <c r="H19" s="144"/>
      <c r="I19" s="145"/>
      <c r="J19" s="144"/>
      <c r="K19" s="145"/>
      <c r="L19" s="144"/>
      <c r="M19" s="145"/>
      <c r="N19" s="144"/>
      <c r="O19" s="120"/>
      <c r="P19" s="119"/>
      <c r="Q19" s="120"/>
      <c r="R19" s="119"/>
      <c r="S19" s="120"/>
      <c r="T19" s="119"/>
      <c r="U19" s="75"/>
      <c r="V19" s="74"/>
    </row>
    <row r="20" spans="1:22" x14ac:dyDescent="0.25">
      <c r="A20" s="43">
        <v>5</v>
      </c>
      <c r="B20" s="40"/>
      <c r="C20" s="145"/>
      <c r="D20" s="144"/>
      <c r="E20" s="145"/>
      <c r="F20" s="144"/>
      <c r="G20" s="145"/>
      <c r="H20" s="144"/>
      <c r="I20" s="145"/>
      <c r="J20" s="144"/>
      <c r="K20" s="145"/>
      <c r="L20" s="144"/>
      <c r="M20" s="145"/>
      <c r="N20" s="144"/>
      <c r="O20" s="120"/>
      <c r="P20" s="119"/>
      <c r="Q20" s="120"/>
      <c r="R20" s="119"/>
      <c r="S20" s="120"/>
      <c r="T20" s="119"/>
      <c r="U20" s="75"/>
      <c r="V20" s="74"/>
    </row>
    <row r="21" spans="1:22" x14ac:dyDescent="0.25">
      <c r="A21" s="43">
        <v>6</v>
      </c>
      <c r="B21" s="40"/>
      <c r="C21" s="145"/>
      <c r="D21" s="144"/>
      <c r="E21" s="145"/>
      <c r="F21" s="144"/>
      <c r="G21" s="145"/>
      <c r="H21" s="144"/>
      <c r="I21" s="145"/>
      <c r="J21" s="144"/>
      <c r="K21" s="145"/>
      <c r="L21" s="144"/>
      <c r="M21" s="145"/>
      <c r="N21" s="144"/>
      <c r="O21" s="120"/>
      <c r="P21" s="119"/>
      <c r="Q21" s="120"/>
      <c r="R21" s="119"/>
      <c r="S21" s="120"/>
      <c r="T21" s="119"/>
      <c r="U21" s="75"/>
      <c r="V21" s="74"/>
    </row>
    <row r="22" spans="1:22" x14ac:dyDescent="0.25">
      <c r="A22" s="43">
        <v>7</v>
      </c>
      <c r="B22" s="40"/>
      <c r="C22" s="145"/>
      <c r="D22" s="144"/>
      <c r="E22" s="145"/>
      <c r="F22" s="144"/>
      <c r="G22" s="145"/>
      <c r="H22" s="144"/>
      <c r="I22" s="145"/>
      <c r="J22" s="144"/>
      <c r="K22" s="145"/>
      <c r="L22" s="144"/>
      <c r="M22" s="145"/>
      <c r="N22" s="144"/>
      <c r="O22" s="120"/>
      <c r="P22" s="119"/>
      <c r="Q22" s="120"/>
      <c r="R22" s="119"/>
      <c r="S22" s="120"/>
      <c r="T22" s="119"/>
      <c r="U22" s="75"/>
      <c r="V22" s="74"/>
    </row>
    <row r="23" spans="1:22" x14ac:dyDescent="0.25">
      <c r="A23" s="43">
        <v>8</v>
      </c>
      <c r="B23" s="40"/>
      <c r="C23" s="145"/>
      <c r="D23" s="144"/>
      <c r="E23" s="145"/>
      <c r="F23" s="144"/>
      <c r="G23" s="145"/>
      <c r="H23" s="144"/>
      <c r="I23" s="145"/>
      <c r="J23" s="144"/>
      <c r="K23" s="145"/>
      <c r="L23" s="144"/>
      <c r="M23" s="145"/>
      <c r="N23" s="144"/>
      <c r="O23" s="120"/>
      <c r="P23" s="119"/>
      <c r="Q23" s="120"/>
      <c r="R23" s="119"/>
      <c r="S23" s="120"/>
      <c r="T23" s="119"/>
      <c r="U23" s="75"/>
      <c r="V23" s="74"/>
    </row>
    <row r="24" spans="1:22" x14ac:dyDescent="0.25">
      <c r="A24" s="43">
        <v>9</v>
      </c>
      <c r="B24" s="40"/>
      <c r="C24" s="145"/>
      <c r="D24" s="144"/>
      <c r="E24" s="145"/>
      <c r="F24" s="144"/>
      <c r="G24" s="145"/>
      <c r="H24" s="144"/>
      <c r="I24" s="145"/>
      <c r="J24" s="144"/>
      <c r="K24" s="145"/>
      <c r="L24" s="144"/>
      <c r="M24" s="145"/>
      <c r="N24" s="144"/>
      <c r="O24" s="120"/>
      <c r="P24" s="119"/>
      <c r="Q24" s="120"/>
      <c r="R24" s="119"/>
      <c r="S24" s="120"/>
      <c r="T24" s="119"/>
      <c r="U24" s="75"/>
      <c r="V24" s="74"/>
    </row>
    <row r="25" spans="1:22" ht="13.8" thickBot="1" x14ac:dyDescent="0.3">
      <c r="A25" s="44">
        <v>10</v>
      </c>
      <c r="B25" s="41"/>
      <c r="C25" s="145"/>
      <c r="D25" s="144"/>
      <c r="E25" s="145"/>
      <c r="F25" s="144"/>
      <c r="G25" s="145"/>
      <c r="H25" s="144"/>
      <c r="I25" s="145"/>
      <c r="J25" s="144"/>
      <c r="K25" s="145"/>
      <c r="L25" s="144"/>
      <c r="M25" s="145"/>
      <c r="N25" s="144"/>
      <c r="O25" s="120"/>
      <c r="P25" s="119"/>
      <c r="Q25" s="120"/>
      <c r="R25" s="119"/>
      <c r="S25" s="120"/>
      <c r="T25" s="119"/>
      <c r="U25" s="75"/>
      <c r="V25" s="74"/>
    </row>
    <row r="26" spans="1:22" ht="15.6" thickBot="1" x14ac:dyDescent="0.3">
      <c r="A26" s="56" t="s">
        <v>92</v>
      </c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8"/>
    </row>
    <row r="27" spans="1:22" x14ac:dyDescent="0.25">
      <c r="A27" s="4"/>
      <c r="B27" s="6"/>
      <c r="C27" s="67"/>
      <c r="D27" s="68"/>
      <c r="E27" s="67"/>
      <c r="F27" s="69"/>
      <c r="G27" s="67"/>
      <c r="H27" s="69"/>
      <c r="I27" s="67"/>
      <c r="J27" s="69"/>
      <c r="K27" s="67"/>
      <c r="L27" s="69"/>
      <c r="M27" s="67"/>
      <c r="N27" s="69"/>
      <c r="O27" s="67"/>
      <c r="P27" s="69"/>
      <c r="Q27" s="67"/>
      <c r="R27" s="69"/>
      <c r="S27" s="67"/>
      <c r="T27" s="69"/>
      <c r="U27" s="67"/>
      <c r="V27" s="69"/>
    </row>
    <row r="28" spans="1:22" x14ac:dyDescent="0.25">
      <c r="A28" s="7" t="s">
        <v>81</v>
      </c>
      <c r="B28" s="9"/>
      <c r="C28" s="64" t="s">
        <v>82</v>
      </c>
      <c r="D28" s="51" t="s">
        <v>83</v>
      </c>
      <c r="E28" s="64" t="s">
        <v>82</v>
      </c>
      <c r="F28" s="51" t="s">
        <v>83</v>
      </c>
      <c r="G28" s="64" t="s">
        <v>82</v>
      </c>
      <c r="H28" s="51" t="s">
        <v>83</v>
      </c>
      <c r="I28" s="64" t="s">
        <v>82</v>
      </c>
      <c r="J28" s="51" t="s">
        <v>83</v>
      </c>
      <c r="K28" s="64" t="s">
        <v>82</v>
      </c>
      <c r="L28" s="51" t="s">
        <v>83</v>
      </c>
      <c r="M28" s="64" t="s">
        <v>82</v>
      </c>
      <c r="N28" s="51" t="s">
        <v>83</v>
      </c>
      <c r="O28" s="64" t="s">
        <v>82</v>
      </c>
      <c r="P28" s="51" t="s">
        <v>83</v>
      </c>
      <c r="Q28" s="64" t="s">
        <v>82</v>
      </c>
      <c r="R28" s="51" t="s">
        <v>83</v>
      </c>
      <c r="S28" s="64" t="s">
        <v>82</v>
      </c>
      <c r="T28" s="51" t="s">
        <v>83</v>
      </c>
      <c r="U28" s="64" t="s">
        <v>82</v>
      </c>
      <c r="V28" s="51" t="s">
        <v>83</v>
      </c>
    </row>
    <row r="29" spans="1:22" x14ac:dyDescent="0.25">
      <c r="A29" s="7"/>
      <c r="B29" s="9"/>
      <c r="C29" s="65">
        <f>'ISO9612-оп'!C18</f>
        <v>61.076424206275924</v>
      </c>
      <c r="D29" s="46">
        <f>'ISO9612-оп'!C24</f>
        <v>120</v>
      </c>
      <c r="E29" s="65">
        <f>'ISO9612-оп'!H18</f>
        <v>71.429926251451946</v>
      </c>
      <c r="F29" s="46">
        <f>'ISO9612-оп'!H24</f>
        <v>120</v>
      </c>
      <c r="G29" s="65">
        <f>IF(G16=0," ",'ISO9612-оп'!M18)</f>
        <v>66.076418798354069</v>
      </c>
      <c r="H29" s="46">
        <f>IF(H16=0," ",'ISO9612-оп'!M24)</f>
        <v>120</v>
      </c>
      <c r="I29" s="65">
        <f>IF(I16=0," ",'ISO9612-оп'!R18)</f>
        <v>68.429926977066515</v>
      </c>
      <c r="J29" s="46">
        <f>IF(J16=0," ",'ISO9612-оп'!R24)</f>
        <v>120</v>
      </c>
      <c r="K29" s="65" t="str">
        <f>IF(K16=0," ",'ISO9612-оп'!W18)</f>
        <v xml:space="preserve"> </v>
      </c>
      <c r="L29" s="46" t="str">
        <f>IF(L16=0," ",'ISO9612-оп'!W24)</f>
        <v xml:space="preserve"> </v>
      </c>
      <c r="M29" s="65" t="str">
        <f>IF(M16=0," ",'ISO9612-оп'!AB18)</f>
        <v xml:space="preserve"> </v>
      </c>
      <c r="N29" s="46" t="str">
        <f>IF(N16=0," ",'ISO9612-оп'!AB24)</f>
        <v xml:space="preserve"> </v>
      </c>
      <c r="O29" s="65" t="str">
        <f>IF(O16=0," ",'ISO9612-оп'!AG18)</f>
        <v xml:space="preserve"> </v>
      </c>
      <c r="P29" s="46" t="str">
        <f>IF(P16=0," ",'ISO9612-оп'!AG24)</f>
        <v xml:space="preserve"> </v>
      </c>
      <c r="Q29" s="65" t="str">
        <f>IF(Q16=0," ",'ISO9612-оп'!AL18)</f>
        <v xml:space="preserve"> </v>
      </c>
      <c r="R29" s="46" t="str">
        <f>IF(R16=0," ",'ISO9612-оп'!AL24)</f>
        <v xml:space="preserve"> </v>
      </c>
      <c r="S29" s="65" t="str">
        <f>IF(S16=0," ",'ISO9612-оп'!AQ18)</f>
        <v xml:space="preserve"> </v>
      </c>
      <c r="T29" s="46" t="str">
        <f>IF(T16=0," ",'ISO9612-оп'!AQ24)</f>
        <v xml:space="preserve"> </v>
      </c>
      <c r="U29" s="65" t="str">
        <f>IF(U16=0," ",'ISO9612-оп'!AV18)</f>
        <v xml:space="preserve"> </v>
      </c>
      <c r="V29" s="46" t="str">
        <f>IF(V16=0," ",'ISO9612-оп'!AV24)</f>
        <v xml:space="preserve"> </v>
      </c>
    </row>
    <row r="30" spans="1:22" x14ac:dyDescent="0.25">
      <c r="A30" s="7"/>
      <c r="B30" s="9"/>
      <c r="C30" s="70"/>
      <c r="D30" s="39"/>
      <c r="E30" s="70"/>
      <c r="F30" s="39"/>
      <c r="G30" s="70"/>
      <c r="H30" s="39"/>
      <c r="I30" s="70"/>
      <c r="J30" s="39"/>
      <c r="K30" s="70"/>
      <c r="L30" s="39"/>
      <c r="M30" s="70"/>
      <c r="N30" s="39"/>
      <c r="O30" s="70"/>
      <c r="P30" s="39"/>
      <c r="Q30" s="70"/>
      <c r="R30" s="39"/>
      <c r="S30" s="70"/>
      <c r="T30" s="39"/>
      <c r="U30" s="70"/>
      <c r="V30" s="39"/>
    </row>
    <row r="31" spans="1:22" x14ac:dyDescent="0.25">
      <c r="A31" s="7" t="s">
        <v>84</v>
      </c>
      <c r="B31" s="9"/>
      <c r="C31" s="66" t="s">
        <v>85</v>
      </c>
      <c r="D31" s="52" t="s">
        <v>86</v>
      </c>
      <c r="E31" s="66" t="s">
        <v>85</v>
      </c>
      <c r="F31" s="52" t="s">
        <v>86</v>
      </c>
      <c r="G31" s="66" t="s">
        <v>85</v>
      </c>
      <c r="H31" s="52" t="s">
        <v>86</v>
      </c>
      <c r="I31" s="66" t="s">
        <v>85</v>
      </c>
      <c r="J31" s="52" t="s">
        <v>86</v>
      </c>
      <c r="K31" s="66" t="s">
        <v>85</v>
      </c>
      <c r="L31" s="52" t="s">
        <v>86</v>
      </c>
      <c r="M31" s="66" t="s">
        <v>85</v>
      </c>
      <c r="N31" s="52" t="s">
        <v>86</v>
      </c>
      <c r="O31" s="66" t="s">
        <v>85</v>
      </c>
      <c r="P31" s="52" t="s">
        <v>86</v>
      </c>
      <c r="Q31" s="66" t="s">
        <v>85</v>
      </c>
      <c r="R31" s="52" t="s">
        <v>86</v>
      </c>
      <c r="S31" s="66" t="s">
        <v>85</v>
      </c>
      <c r="T31" s="52" t="s">
        <v>86</v>
      </c>
      <c r="U31" s="66" t="s">
        <v>85</v>
      </c>
      <c r="V31" s="52" t="s">
        <v>86</v>
      </c>
    </row>
    <row r="32" spans="1:22" s="27" customFormat="1" x14ac:dyDescent="0.25">
      <c r="A32" s="47"/>
      <c r="B32" s="48"/>
      <c r="C32" s="65">
        <f>'ISO9612-оп'!C20</f>
        <v>0.57735026918962573</v>
      </c>
      <c r="D32" s="46">
        <f>IF(D17=0,0,'ISO9612-оп'!C25)</f>
        <v>0</v>
      </c>
      <c r="E32" s="65">
        <f>'ISO9612-оп'!H20</f>
        <v>0.66666666666666674</v>
      </c>
      <c r="F32" s="46">
        <f>IF(F17=0,0,'ISO9612-оп'!H25)</f>
        <v>0</v>
      </c>
      <c r="G32" s="65">
        <f>IF(G16=0," ",'ISO9612-оп'!M20)</f>
        <v>0.57735026918962573</v>
      </c>
      <c r="H32" s="46">
        <f>IF(H16=0," ",'ISO9612-оп'!M25)</f>
        <v>0</v>
      </c>
      <c r="I32" s="65">
        <f>IF(I16=0," ",'ISO9612-оп'!R20)</f>
        <v>0.66666666666666674</v>
      </c>
      <c r="J32" s="46">
        <f>IF(J16=0," ",'ISO9612-оп'!R25)</f>
        <v>0</v>
      </c>
      <c r="K32" s="65" t="str">
        <f>IF(K16=0," ",'ISO9612-оп'!W20)</f>
        <v xml:space="preserve"> </v>
      </c>
      <c r="L32" s="46" t="str">
        <f>IF(L16=0," ",'ISO9612-оп'!W25)</f>
        <v xml:space="preserve"> </v>
      </c>
      <c r="M32" s="65" t="str">
        <f>IF(M16=0," ",'ISO9612-оп'!AB20)</f>
        <v xml:space="preserve"> </v>
      </c>
      <c r="N32" s="46" t="str">
        <f>IF(N16=0," ",'ISO9612-оп'!AB25)</f>
        <v xml:space="preserve"> </v>
      </c>
      <c r="O32" s="65" t="str">
        <f>IF(O16=0," ",'ISO9612-оп'!AG20)</f>
        <v xml:space="preserve"> </v>
      </c>
      <c r="P32" s="46" t="str">
        <f>IF(P16=0," ",'ISO9612-оп'!AG25)</f>
        <v xml:space="preserve"> </v>
      </c>
      <c r="Q32" s="65" t="str">
        <f>IF(Q16=0,"  ",'ISO9612-оп'!AI20)</f>
        <v xml:space="preserve">  </v>
      </c>
      <c r="R32" s="46" t="str">
        <f>IF(R16=0," ",'ISO9612-оп'!AI25)</f>
        <v xml:space="preserve"> </v>
      </c>
      <c r="S32" s="65" t="str">
        <f>IF(S16=0," ",'ISO9612-оп'!AQ20)</f>
        <v xml:space="preserve"> </v>
      </c>
      <c r="T32" s="46" t="str">
        <f>IF(T16=0," ",'ISO9612-оп'!AQ25)</f>
        <v xml:space="preserve"> </v>
      </c>
      <c r="U32" s="65" t="str">
        <f>IF(U16=0," ",'ISO9612-оп'!AV20)</f>
        <v xml:space="preserve"> </v>
      </c>
      <c r="V32" s="46" t="str">
        <f>IF(V16=0," ",'ISO9612-оп'!AV25)</f>
        <v xml:space="preserve"> </v>
      </c>
    </row>
    <row r="33" spans="1:22" s="27" customFormat="1" x14ac:dyDescent="0.25">
      <c r="A33" s="47"/>
      <c r="B33" s="48"/>
      <c r="C33" s="65"/>
      <c r="D33" s="46"/>
      <c r="E33" s="65"/>
      <c r="F33" s="46"/>
      <c r="G33" s="65"/>
      <c r="H33" s="46"/>
      <c r="I33" s="65"/>
      <c r="J33" s="46"/>
      <c r="K33" s="65"/>
      <c r="L33" s="46"/>
      <c r="M33" s="65"/>
      <c r="N33" s="46"/>
      <c r="O33" s="65"/>
      <c r="P33" s="46"/>
      <c r="Q33" s="65"/>
      <c r="R33" s="46"/>
      <c r="S33" s="65"/>
      <c r="T33" s="46"/>
      <c r="U33" s="65"/>
      <c r="V33" s="46"/>
    </row>
    <row r="34" spans="1:22" x14ac:dyDescent="0.25">
      <c r="A34" s="38" t="s">
        <v>87</v>
      </c>
      <c r="B34" s="9"/>
      <c r="C34" s="66" t="s">
        <v>89</v>
      </c>
      <c r="D34" s="52" t="s">
        <v>90</v>
      </c>
      <c r="E34" s="66" t="s">
        <v>89</v>
      </c>
      <c r="F34" s="52" t="s">
        <v>90</v>
      </c>
      <c r="G34" s="66" t="s">
        <v>89</v>
      </c>
      <c r="H34" s="52" t="s">
        <v>90</v>
      </c>
      <c r="I34" s="66" t="s">
        <v>89</v>
      </c>
      <c r="J34" s="52" t="s">
        <v>90</v>
      </c>
      <c r="K34" s="66" t="s">
        <v>89</v>
      </c>
      <c r="L34" s="52" t="s">
        <v>90</v>
      </c>
      <c r="M34" s="66" t="s">
        <v>89</v>
      </c>
      <c r="N34" s="52" t="s">
        <v>90</v>
      </c>
      <c r="O34" s="66" t="s">
        <v>89</v>
      </c>
      <c r="P34" s="52" t="s">
        <v>90</v>
      </c>
      <c r="Q34" s="66" t="s">
        <v>89</v>
      </c>
      <c r="R34" s="52" t="s">
        <v>90</v>
      </c>
      <c r="S34" s="66" t="s">
        <v>89</v>
      </c>
      <c r="T34" s="52" t="s">
        <v>90</v>
      </c>
      <c r="U34" s="66" t="s">
        <v>89</v>
      </c>
      <c r="V34" s="52" t="s">
        <v>90</v>
      </c>
    </row>
    <row r="35" spans="1:22" s="27" customFormat="1" x14ac:dyDescent="0.25">
      <c r="A35" s="47"/>
      <c r="B35" s="48"/>
      <c r="C35" s="65">
        <f ca="1">'ISO9612-оп'!C29</f>
        <v>4.8906515028236397E-2</v>
      </c>
      <c r="D35" s="46">
        <f ca="1">'ISO9612-оп'!C31</f>
        <v>1.7687856268545495E-3</v>
      </c>
      <c r="E35" s="65">
        <f ca="1">'ISO9612-оп'!H29</f>
        <v>0.53053852002946311</v>
      </c>
      <c r="F35" s="46">
        <f ca="1">'ISO9612-оп'!H31</f>
        <v>1.9187809807732249E-2</v>
      </c>
      <c r="G35" s="65">
        <f ca="1">IF(G16=0," ",'ISO9612-оп'!M29)</f>
        <v>0.15465578732987786</v>
      </c>
      <c r="H35" s="46">
        <f ca="1">IF(H16=0," ",'ISO9612-оп'!M31)</f>
        <v>5.5933843084305821E-3</v>
      </c>
      <c r="I35" s="65">
        <f ca="1">IF(I16=0," ",'ISO9612-оп'!R29)</f>
        <v>0.26589917761241993</v>
      </c>
      <c r="J35" s="46">
        <f ca="1">IF(J16=0," ",'ISO9612-оп'!R31)</f>
        <v>9.6166869236491877E-3</v>
      </c>
      <c r="K35" s="65" t="str">
        <f>IF(K16=0," ",'ISO9612-оп'!W29)</f>
        <v xml:space="preserve"> </v>
      </c>
      <c r="L35" s="46" t="str">
        <f>IF(L16=0," ",'ISO9612-оп'!W31)</f>
        <v xml:space="preserve"> </v>
      </c>
      <c r="M35" s="65" t="str">
        <f>IF(M16=0," ",'ISO9612-оп'!AB29)</f>
        <v xml:space="preserve"> </v>
      </c>
      <c r="N35" s="46" t="str">
        <f>IF(N16=0," ",'ISO9612-оп'!AB31)</f>
        <v xml:space="preserve"> </v>
      </c>
      <c r="O35" s="65" t="str">
        <f>IF(O16=0," ",'ISO9612-оп'!AG29)</f>
        <v xml:space="preserve"> </v>
      </c>
      <c r="P35" s="46" t="str">
        <f>IF(P16=0," ",'ISO9612-оп'!AG31)</f>
        <v xml:space="preserve"> </v>
      </c>
      <c r="Q35" s="65" t="str">
        <f>IF(Q16=0," ",'ISO9612-оп'!AL29)</f>
        <v xml:space="preserve"> </v>
      </c>
      <c r="R35" s="46" t="str">
        <f>IF(R16=0," ",'ISO9612-оп'!AL31)</f>
        <v xml:space="preserve"> </v>
      </c>
      <c r="S35" s="65" t="str">
        <f>IF(S16=0," ",'ISO9612-оп'!AQ29)</f>
        <v xml:space="preserve"> </v>
      </c>
      <c r="T35" s="46" t="str">
        <f>IF(T16=0," ",'ISO9612-оп'!AQ31)</f>
        <v xml:space="preserve"> </v>
      </c>
      <c r="U35" s="65" t="str">
        <f>IF(U16=0," ",'ISO9612-оп'!AV29)</f>
        <v xml:space="preserve"> </v>
      </c>
      <c r="V35" s="46" t="str">
        <f>IF(V16=0," ",'ISO9612-оп'!AV31)</f>
        <v xml:space="preserve"> </v>
      </c>
    </row>
    <row r="36" spans="1:22" s="27" customFormat="1" x14ac:dyDescent="0.25">
      <c r="A36" s="47"/>
      <c r="B36" s="48"/>
      <c r="C36" s="65"/>
      <c r="D36" s="46"/>
      <c r="E36" s="65"/>
      <c r="F36" s="46"/>
      <c r="G36" s="65"/>
      <c r="H36" s="46"/>
      <c r="I36" s="65"/>
      <c r="J36" s="46"/>
      <c r="K36" s="65"/>
      <c r="L36" s="46"/>
      <c r="M36" s="65"/>
      <c r="N36" s="46"/>
      <c r="O36" s="65"/>
      <c r="P36" s="46"/>
      <c r="Q36" s="65"/>
      <c r="R36" s="46"/>
      <c r="S36" s="65"/>
      <c r="T36" s="46"/>
      <c r="U36" s="65"/>
      <c r="V36" s="46"/>
    </row>
    <row r="37" spans="1:22" x14ac:dyDescent="0.25">
      <c r="A37" s="7" t="s">
        <v>88</v>
      </c>
      <c r="B37" s="9"/>
      <c r="C37" s="66" t="s">
        <v>91</v>
      </c>
      <c r="D37" s="52"/>
      <c r="E37" s="66" t="s">
        <v>91</v>
      </c>
      <c r="F37" s="52"/>
      <c r="G37" s="66" t="s">
        <v>91</v>
      </c>
      <c r="H37" s="52"/>
      <c r="I37" s="66" t="s">
        <v>91</v>
      </c>
      <c r="J37" s="52"/>
      <c r="K37" s="66" t="s">
        <v>91</v>
      </c>
      <c r="L37" s="52"/>
      <c r="M37" s="66" t="s">
        <v>91</v>
      </c>
      <c r="N37" s="52"/>
      <c r="O37" s="66" t="s">
        <v>91</v>
      </c>
      <c r="P37" s="52"/>
      <c r="Q37" s="66" t="s">
        <v>91</v>
      </c>
      <c r="R37" s="52"/>
      <c r="S37" s="66" t="s">
        <v>91</v>
      </c>
      <c r="T37" s="52"/>
      <c r="U37" s="66" t="s">
        <v>91</v>
      </c>
      <c r="V37" s="52"/>
    </row>
    <row r="38" spans="1:22" s="27" customFormat="1" ht="13.8" thickBot="1" x14ac:dyDescent="0.3">
      <c r="A38" s="49"/>
      <c r="B38" s="50"/>
      <c r="C38" s="71">
        <f>'ISO9612-оп'!C27</f>
        <v>55.055824292996299</v>
      </c>
      <c r="D38" s="72"/>
      <c r="E38" s="71">
        <f>'ISO9612-оп'!H27</f>
        <v>65.40932633817232</v>
      </c>
      <c r="F38" s="72"/>
      <c r="G38" s="71">
        <f>IF(G16=0," ",'ISO9612-оп'!M27)</f>
        <v>60.055818885074444</v>
      </c>
      <c r="H38" s="72"/>
      <c r="I38" s="71">
        <f>IF(I16=0," ",'ISO9612-оп'!R27)</f>
        <v>62.40932706378689</v>
      </c>
      <c r="J38" s="72"/>
      <c r="K38" s="71" t="str">
        <f>IF(K16=0," ",'ISO9612-оп'!W27)</f>
        <v xml:space="preserve"> </v>
      </c>
      <c r="L38" s="72"/>
      <c r="M38" s="71" t="str">
        <f>IF(M16=0," ",'ISO9612-оп'!AB27)</f>
        <v xml:space="preserve"> </v>
      </c>
      <c r="N38" s="72"/>
      <c r="O38" s="71" t="str">
        <f>IF(O16=0," ",'ISO9612-оп'!AG27)</f>
        <v xml:space="preserve"> </v>
      </c>
      <c r="P38" s="72"/>
      <c r="Q38" s="71" t="str">
        <f>IF(Q16=0," ",'ISO9612-оп'!AL27)</f>
        <v xml:space="preserve"> </v>
      </c>
      <c r="R38" s="72"/>
      <c r="S38" s="71" t="str">
        <f>IF(S16=0," ",'ISO9612-оп'!AQ27)</f>
        <v xml:space="preserve"> </v>
      </c>
      <c r="T38" s="72"/>
      <c r="U38" s="71" t="str">
        <f>IF(U16=0," ",'ISO9612-оп'!AV27)</f>
        <v xml:space="preserve"> </v>
      </c>
      <c r="V38" s="72"/>
    </row>
    <row r="39" spans="1:22" ht="15.6" thickBot="1" x14ac:dyDescent="0.3">
      <c r="A39" s="54" t="s">
        <v>95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8"/>
    </row>
    <row r="40" spans="1:22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7.399999999999999" x14ac:dyDescent="0.3">
      <c r="A41" s="53" t="s">
        <v>96</v>
      </c>
      <c r="B41" s="13"/>
      <c r="C41" s="13"/>
      <c r="D41" s="13"/>
      <c r="E41" s="13"/>
      <c r="F41" s="13"/>
      <c r="G41" s="13"/>
      <c r="H41" s="13"/>
      <c r="I41" s="13"/>
      <c r="J41" s="98">
        <f ca="1">'ISO9612-оп'!C45</f>
        <v>68.162157122548706</v>
      </c>
      <c r="K41" s="13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ht="17.399999999999999" x14ac:dyDescent="0.3">
      <c r="A42" s="53" t="s">
        <v>51</v>
      </c>
      <c r="B42" s="13"/>
      <c r="C42" s="13"/>
      <c r="D42" s="13"/>
      <c r="E42" s="13"/>
      <c r="F42" s="13"/>
      <c r="G42" s="13"/>
      <c r="H42" s="13"/>
      <c r="I42" s="13"/>
      <c r="J42" s="98">
        <f ca="1">'ISO9612-оп'!B47</f>
        <v>0.85395107141899551</v>
      </c>
      <c r="K42" s="13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</row>
    <row r="43" spans="1:22" ht="17.399999999999999" x14ac:dyDescent="0.3">
      <c r="A43" s="53" t="s">
        <v>99</v>
      </c>
      <c r="B43" s="13"/>
      <c r="C43" s="13"/>
      <c r="D43" s="13"/>
      <c r="E43" s="13"/>
      <c r="F43" s="13"/>
      <c r="G43" s="13"/>
      <c r="H43" s="13"/>
      <c r="I43" s="13"/>
      <c r="J43" s="98">
        <f ca="1">'ISO9612-оп'!B48</f>
        <v>1.4090192678413425</v>
      </c>
      <c r="K43" s="13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</row>
    <row r="44" spans="1:22" ht="17.399999999999999" x14ac:dyDescent="0.3">
      <c r="A44" s="53" t="s">
        <v>52</v>
      </c>
      <c r="B44" s="13"/>
      <c r="C44" s="13"/>
      <c r="D44" s="13"/>
      <c r="E44" s="13"/>
      <c r="F44" s="13"/>
      <c r="G44" s="13"/>
      <c r="H44" s="13"/>
      <c r="I44" s="13"/>
      <c r="J44" s="98">
        <f ca="1">'ISO9612-оп'!B49</f>
        <v>1.707902142837991</v>
      </c>
      <c r="K44" s="13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</row>
    <row r="45" spans="1:22" s="8" customFormat="1" ht="16.2" thickBot="1" x14ac:dyDescent="0.35">
      <c r="A45" s="131" t="s">
        <v>150</v>
      </c>
      <c r="B45" s="132"/>
      <c r="C45" s="132"/>
      <c r="D45" s="132"/>
      <c r="E45" s="132"/>
      <c r="F45" s="132"/>
      <c r="G45" s="130">
        <v>8</v>
      </c>
      <c r="H45" s="132" t="s">
        <v>151</v>
      </c>
      <c r="I45" s="132"/>
      <c r="J45" s="129">
        <f ca="1">J41+10*LOG10(8/G45)</f>
        <v>68.162157122548706</v>
      </c>
      <c r="K45" s="133"/>
      <c r="L45" s="1"/>
      <c r="M45" s="1"/>
      <c r="N45" s="1"/>
      <c r="O45" s="1"/>
      <c r="P45" s="1"/>
      <c r="Q45" s="1"/>
      <c r="R45" s="1"/>
      <c r="S45" s="1"/>
      <c r="T45" s="1"/>
      <c r="U45" s="1"/>
      <c r="V45" s="45"/>
    </row>
    <row r="46" spans="1:22" ht="13.8" thickTop="1" x14ac:dyDescent="0.25"/>
  </sheetData>
  <sheetProtection algorithmName="SHA-512" hashValue="7+Rgm7dyj614N8QXwlO++MOet9R+zjGyLY1Fwh5uuhybxpa2TPXHDyxYDHSy1Cnv1GHZVFDLtAqXyO8vOxmESw==" saltValue="GDYH8Q0CwVETgBXGjuHr5g==" spinCount="100000" sheet="1" objects="1" scenarios="1"/>
  <protectedRanges>
    <protectedRange sqref="G45" name="Диапазон3"/>
    <protectedRange sqref="B14" name="Диапазон1" securityDescriptor="O:WDG:WDD:(A;;CC;;;LA)(A;;CC;;;S-1-5-21-2730521853-3519568808-3049322415-1001)(A;;CC;;;BG)(A;;CC;;;LG)(A;;CC;;;BU)"/>
    <protectedRange sqref="C16:V25" name="Диапазон2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3"/>
  <sheetViews>
    <sheetView zoomScale="70" zoomScaleNormal="70" workbookViewId="0">
      <selection activeCell="D33" sqref="D33"/>
    </sheetView>
  </sheetViews>
  <sheetFormatPr defaultRowHeight="13.2" x14ac:dyDescent="0.25"/>
  <cols>
    <col min="1" max="1" width="8.88671875" style="68"/>
    <col min="2" max="2" width="46.88671875" customWidth="1"/>
    <col min="4" max="4" width="82" customWidth="1"/>
  </cols>
  <sheetData>
    <row r="1" spans="1:30" ht="17.399999999999999" x14ac:dyDescent="0.3">
      <c r="B1" s="124" t="s">
        <v>67</v>
      </c>
      <c r="C1" s="5"/>
      <c r="D1" s="5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30" ht="18" thickBot="1" x14ac:dyDescent="0.35">
      <c r="B2" s="88" t="s">
        <v>136</v>
      </c>
      <c r="C2" s="11"/>
      <c r="D2" s="11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30" x14ac:dyDescent="0.25">
      <c r="B3" s="7" t="s">
        <v>144</v>
      </c>
      <c r="C3" s="8"/>
      <c r="D3" s="8"/>
      <c r="E3" s="9"/>
    </row>
    <row r="4" spans="1:30" x14ac:dyDescent="0.25">
      <c r="B4" s="7" t="s">
        <v>125</v>
      </c>
      <c r="C4" s="8"/>
      <c r="D4" s="8"/>
      <c r="E4" s="9"/>
    </row>
    <row r="5" spans="1:30" x14ac:dyDescent="0.25">
      <c r="B5" s="7" t="s">
        <v>126</v>
      </c>
      <c r="C5" s="8"/>
      <c r="D5" s="8"/>
      <c r="E5" s="9"/>
    </row>
    <row r="6" spans="1:30" x14ac:dyDescent="0.25">
      <c r="B6" s="7" t="s">
        <v>128</v>
      </c>
      <c r="C6" s="8"/>
      <c r="D6" s="8"/>
      <c r="E6" s="9"/>
    </row>
    <row r="7" spans="1:30" x14ac:dyDescent="0.25">
      <c r="B7" s="7" t="s">
        <v>127</v>
      </c>
      <c r="C7" s="8"/>
      <c r="D7" s="8"/>
      <c r="E7" s="9"/>
    </row>
    <row r="8" spans="1:30" x14ac:dyDescent="0.25">
      <c r="B8" s="7" t="s">
        <v>131</v>
      </c>
      <c r="C8" s="8"/>
      <c r="D8" s="8"/>
      <c r="E8" s="9"/>
    </row>
    <row r="9" spans="1:30" ht="13.8" thickBot="1" x14ac:dyDescent="0.3">
      <c r="B9" s="7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.6" thickBot="1" x14ac:dyDescent="0.3">
      <c r="B10" s="93" t="s">
        <v>97</v>
      </c>
      <c r="C10" s="91"/>
      <c r="D10" s="94" t="s">
        <v>124</v>
      </c>
      <c r="E10" s="5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"/>
      <c r="AA10" s="8"/>
      <c r="AB10" s="8"/>
      <c r="AC10" s="8"/>
      <c r="AD10" s="8"/>
    </row>
    <row r="11" spans="1:30" ht="17.399999999999999" x14ac:dyDescent="0.3">
      <c r="B11" s="102" t="s">
        <v>133</v>
      </c>
      <c r="C11" s="110">
        <v>18</v>
      </c>
      <c r="D11" s="89" t="s">
        <v>111</v>
      </c>
      <c r="E11" s="96">
        <f>'ISO9612-тф'!D36</f>
        <v>88.439546629998361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"/>
      <c r="AA11" s="8"/>
      <c r="AB11" s="8"/>
      <c r="AC11" s="8"/>
      <c r="AD11" s="8"/>
    </row>
    <row r="12" spans="1:30" ht="17.399999999999999" x14ac:dyDescent="0.3">
      <c r="B12" s="102" t="s">
        <v>108</v>
      </c>
      <c r="C12" s="110">
        <v>6</v>
      </c>
      <c r="D12" s="89" t="s">
        <v>134</v>
      </c>
      <c r="E12" s="96">
        <f>'ISO9612-тф'!D40</f>
        <v>1.49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"/>
      <c r="AA12" s="8"/>
      <c r="AB12" s="8"/>
      <c r="AC12" s="8"/>
      <c r="AD12" s="8"/>
    </row>
    <row r="13" spans="1:30" ht="18" thickBot="1" x14ac:dyDescent="0.35">
      <c r="B13" s="106" t="s">
        <v>113</v>
      </c>
      <c r="C13" s="111">
        <v>7.5</v>
      </c>
      <c r="D13" s="89" t="s">
        <v>137</v>
      </c>
      <c r="E13" s="96">
        <f>'ISO9612-тф'!D42</f>
        <v>2.0026648912553151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"/>
      <c r="AA13" s="8"/>
      <c r="AB13" s="8"/>
      <c r="AC13" s="8"/>
      <c r="AD13" s="8"/>
    </row>
    <row r="14" spans="1:30" ht="18" thickBot="1" x14ac:dyDescent="0.35">
      <c r="A14" s="68">
        <v>1</v>
      </c>
      <c r="B14" s="108" t="s">
        <v>112</v>
      </c>
      <c r="C14" s="112">
        <v>88.1</v>
      </c>
      <c r="D14" s="105" t="s">
        <v>135</v>
      </c>
      <c r="E14" s="97">
        <f ca="1">'ISO9612-тф'!D43</f>
        <v>1.4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"/>
      <c r="AA14" s="8"/>
      <c r="AB14" s="8"/>
      <c r="AC14" s="8"/>
      <c r="AD14" s="8"/>
    </row>
    <row r="15" spans="1:30" ht="18" thickBot="1" x14ac:dyDescent="0.35">
      <c r="A15" s="68">
        <v>2</v>
      </c>
      <c r="B15" s="102"/>
      <c r="C15" s="142">
        <v>86.1</v>
      </c>
      <c r="D15" s="8"/>
      <c r="E15" s="103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"/>
      <c r="AA15" s="8"/>
      <c r="AB15" s="8"/>
      <c r="AC15" s="8"/>
      <c r="AD15" s="8"/>
    </row>
    <row r="16" spans="1:30" ht="18" thickBot="1" x14ac:dyDescent="0.35">
      <c r="A16" s="68">
        <v>3</v>
      </c>
      <c r="B16" s="102"/>
      <c r="C16" s="142">
        <v>89.7</v>
      </c>
      <c r="D16" s="8"/>
      <c r="E16" s="10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"/>
      <c r="AA16" s="8"/>
      <c r="AB16" s="8"/>
      <c r="AC16" s="8"/>
      <c r="AD16" s="8"/>
    </row>
    <row r="17" spans="1:30" ht="18" thickBot="1" x14ac:dyDescent="0.35">
      <c r="A17" s="68">
        <v>4</v>
      </c>
      <c r="B17" s="102"/>
      <c r="C17" s="142">
        <v>86.5</v>
      </c>
      <c r="D17" s="104" t="s">
        <v>129</v>
      </c>
      <c r="E17" s="92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"/>
      <c r="AA17" s="8"/>
      <c r="AB17" s="8"/>
      <c r="AC17" s="8"/>
      <c r="AD17" s="8"/>
    </row>
    <row r="18" spans="1:30" ht="18" thickBot="1" x14ac:dyDescent="0.35">
      <c r="A18" s="68">
        <v>5</v>
      </c>
      <c r="B18" s="102"/>
      <c r="C18" s="142">
        <v>91.1</v>
      </c>
      <c r="D18" s="89" t="s">
        <v>96</v>
      </c>
      <c r="E18" s="96">
        <f>'ISO9612-тф'!D37</f>
        <v>88.159259393995924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"/>
      <c r="AA18" s="8"/>
      <c r="AB18" s="8"/>
      <c r="AC18" s="8"/>
      <c r="AD18" s="8"/>
    </row>
    <row r="19" spans="1:30" ht="19.2" customHeight="1" thickBot="1" x14ac:dyDescent="0.35">
      <c r="A19" s="68">
        <v>6</v>
      </c>
      <c r="B19" s="102"/>
      <c r="C19" s="142">
        <v>86.7</v>
      </c>
      <c r="D19" s="89" t="s">
        <v>51</v>
      </c>
      <c r="E19" s="96">
        <f ca="1">'ISO9612-тф'!D45</f>
        <v>1.857417562100671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"/>
      <c r="AA19" s="8"/>
      <c r="AB19" s="8"/>
      <c r="AC19" s="8"/>
      <c r="AD19" s="8"/>
    </row>
    <row r="20" spans="1:30" ht="18" thickBot="1" x14ac:dyDescent="0.35">
      <c r="A20" s="68">
        <v>7</v>
      </c>
      <c r="B20" s="102"/>
      <c r="C20" s="142"/>
      <c r="D20" s="89" t="s">
        <v>52</v>
      </c>
      <c r="E20" s="96">
        <f ca="1">'ISO9612-тф'!D47</f>
        <v>3.714835124201342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"/>
      <c r="AA20" s="8"/>
      <c r="AB20" s="8"/>
      <c r="AC20" s="8"/>
      <c r="AD20" s="8"/>
    </row>
    <row r="21" spans="1:30" ht="18" thickBot="1" x14ac:dyDescent="0.35">
      <c r="A21" s="68">
        <v>8</v>
      </c>
      <c r="B21" s="102"/>
      <c r="C21" s="142"/>
      <c r="D21" s="95" t="s">
        <v>132</v>
      </c>
      <c r="E21" s="96">
        <f ca="1">'ISO9612-тф'!D46</f>
        <v>3.0647389774661069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"/>
      <c r="AA21" s="8"/>
      <c r="AB21" s="8"/>
      <c r="AC21" s="8"/>
      <c r="AD21" s="8"/>
    </row>
    <row r="22" spans="1:30" ht="16.2" thickBot="1" x14ac:dyDescent="0.35">
      <c r="A22" s="68">
        <v>9</v>
      </c>
      <c r="B22" s="102"/>
      <c r="C22" s="142"/>
      <c r="D22" s="131" t="s">
        <v>150</v>
      </c>
      <c r="E22" s="134">
        <f>E18+10*LOG10(8/F22)</f>
        <v>86.398346803439111</v>
      </c>
      <c r="F22" s="139">
        <v>12</v>
      </c>
      <c r="G22" s="138" t="s">
        <v>151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"/>
      <c r="AA22" s="8"/>
      <c r="AB22" s="8"/>
      <c r="AC22" s="8"/>
      <c r="AD22" s="8"/>
    </row>
    <row r="23" spans="1:30" ht="13.8" thickTop="1" x14ac:dyDescent="0.25">
      <c r="A23" s="68">
        <v>10</v>
      </c>
      <c r="B23" s="102"/>
      <c r="C23" s="142"/>
      <c r="D23" s="8"/>
      <c r="E23" s="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"/>
      <c r="AA23" s="8"/>
      <c r="AB23" s="8"/>
      <c r="AC23" s="8"/>
      <c r="AD23" s="8"/>
    </row>
    <row r="24" spans="1:30" x14ac:dyDescent="0.25">
      <c r="A24" s="68">
        <v>11</v>
      </c>
      <c r="B24" s="102"/>
      <c r="C24" s="113"/>
      <c r="D24" s="8"/>
      <c r="E24" s="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"/>
      <c r="AA24" s="8"/>
      <c r="AB24" s="8"/>
      <c r="AC24" s="8"/>
      <c r="AD24" s="8"/>
    </row>
    <row r="25" spans="1:30" x14ac:dyDescent="0.25">
      <c r="A25" s="68">
        <v>12</v>
      </c>
      <c r="B25" s="102"/>
      <c r="C25" s="113"/>
      <c r="D25" s="8"/>
      <c r="E25" s="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"/>
      <c r="AA25" s="8"/>
      <c r="AB25" s="8"/>
      <c r="AC25" s="8"/>
      <c r="AD25" s="8"/>
    </row>
    <row r="26" spans="1:30" x14ac:dyDescent="0.25">
      <c r="A26" s="68">
        <v>13</v>
      </c>
      <c r="B26" s="102"/>
      <c r="C26" s="113"/>
      <c r="D26" s="8"/>
      <c r="E26" s="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"/>
      <c r="AA26" s="8"/>
      <c r="AB26" s="8"/>
      <c r="AC26" s="8"/>
      <c r="AD26" s="8"/>
    </row>
    <row r="27" spans="1:30" x14ac:dyDescent="0.25">
      <c r="A27" s="68">
        <v>14</v>
      </c>
      <c r="B27" s="102"/>
      <c r="C27" s="113"/>
      <c r="D27" s="8"/>
      <c r="E27" s="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"/>
      <c r="AA27" s="8"/>
      <c r="AB27" s="8"/>
      <c r="AC27" s="8"/>
      <c r="AD27" s="8"/>
    </row>
    <row r="28" spans="1:30" x14ac:dyDescent="0.25">
      <c r="A28" s="68">
        <v>15</v>
      </c>
      <c r="B28" s="102"/>
      <c r="C28" s="113"/>
      <c r="D28" s="8"/>
      <c r="E28" s="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"/>
      <c r="AA28" s="8"/>
      <c r="AB28" s="8"/>
      <c r="AC28" s="8"/>
      <c r="AD28" s="8"/>
    </row>
    <row r="29" spans="1:30" x14ac:dyDescent="0.25">
      <c r="A29" s="68">
        <v>16</v>
      </c>
      <c r="B29" s="102"/>
      <c r="C29" s="113"/>
      <c r="D29" s="8"/>
      <c r="E29" s="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"/>
      <c r="AA29" s="8"/>
      <c r="AB29" s="8"/>
      <c r="AC29" s="8"/>
      <c r="AD29" s="8"/>
    </row>
    <row r="30" spans="1:30" x14ac:dyDescent="0.25">
      <c r="A30" s="68">
        <v>17</v>
      </c>
      <c r="B30" s="102"/>
      <c r="C30" s="113"/>
      <c r="D30" s="8"/>
      <c r="E30" s="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"/>
      <c r="AA30" s="8"/>
      <c r="AB30" s="8"/>
      <c r="AC30" s="8"/>
      <c r="AD30" s="8"/>
    </row>
    <row r="31" spans="1:30" x14ac:dyDescent="0.25">
      <c r="A31" s="68">
        <v>18</v>
      </c>
      <c r="B31" s="102"/>
      <c r="C31" s="113"/>
      <c r="D31" s="8"/>
      <c r="E31" s="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"/>
      <c r="AA31" s="8"/>
      <c r="AB31" s="8"/>
      <c r="AC31" s="8"/>
      <c r="AD31" s="8"/>
    </row>
    <row r="32" spans="1:30" x14ac:dyDescent="0.25">
      <c r="A32" s="68">
        <v>19</v>
      </c>
      <c r="B32" s="102"/>
      <c r="C32" s="113"/>
      <c r="D32" s="8"/>
      <c r="E32" s="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"/>
      <c r="AA32" s="8"/>
      <c r="AB32" s="8"/>
      <c r="AC32" s="8"/>
      <c r="AD32" s="8"/>
    </row>
    <row r="33" spans="1:30" x14ac:dyDescent="0.25">
      <c r="A33" s="68">
        <v>20</v>
      </c>
      <c r="B33" s="102"/>
      <c r="C33" s="113"/>
      <c r="D33" s="8"/>
      <c r="E33" s="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"/>
      <c r="AA33" s="8"/>
      <c r="AB33" s="8"/>
      <c r="AC33" s="8"/>
      <c r="AD33" s="8"/>
    </row>
    <row r="34" spans="1:30" ht="13.8" thickBot="1" x14ac:dyDescent="0.3">
      <c r="B34" s="109"/>
      <c r="C34" s="114"/>
      <c r="D34" s="8"/>
      <c r="E34" s="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"/>
      <c r="AA34" s="8"/>
      <c r="AB34" s="8"/>
      <c r="AC34" s="8"/>
      <c r="AD34" s="8"/>
    </row>
    <row r="35" spans="1:30" x14ac:dyDescent="0.25">
      <c r="B35" s="107" t="s">
        <v>130</v>
      </c>
      <c r="C35" s="115">
        <v>0.7</v>
      </c>
      <c r="D35" s="8"/>
      <c r="E35" s="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"/>
      <c r="AA35" s="8"/>
      <c r="AB35" s="8"/>
      <c r="AC35" s="8"/>
      <c r="AD35" s="8"/>
    </row>
    <row r="36" spans="1:30" x14ac:dyDescent="0.25">
      <c r="B36" s="7" t="s">
        <v>109</v>
      </c>
      <c r="C36" s="116">
        <f>'ISO9612-тф'!D6</f>
        <v>10.75</v>
      </c>
      <c r="D36" s="8"/>
      <c r="E36" s="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"/>
      <c r="AA36" s="8"/>
      <c r="AB36" s="8"/>
      <c r="AC36" s="8"/>
      <c r="AD36" s="8"/>
    </row>
    <row r="37" spans="1:30" x14ac:dyDescent="0.25">
      <c r="B37" s="7" t="s">
        <v>110</v>
      </c>
      <c r="C37" s="116">
        <f>'ISO9612-тф'!D8</f>
        <v>107.5</v>
      </c>
      <c r="D37" s="8"/>
      <c r="E37" s="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"/>
      <c r="AA37" s="8"/>
      <c r="AB37" s="8"/>
      <c r="AC37" s="8"/>
      <c r="AD37" s="8"/>
    </row>
    <row r="38" spans="1:30" ht="13.8" thickBot="1" x14ac:dyDescent="0.3">
      <c r="B38" s="10"/>
      <c r="C38" s="117"/>
      <c r="D38" s="8"/>
      <c r="E38" s="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"/>
      <c r="AA38" s="8"/>
      <c r="AB38" s="8"/>
      <c r="AC38" s="8"/>
      <c r="AD38" s="8"/>
    </row>
    <row r="39" spans="1:30" ht="15.6" thickBot="1" x14ac:dyDescent="0.3">
      <c r="B39" s="54"/>
      <c r="C39" s="55"/>
      <c r="D39" s="55"/>
      <c r="E39" s="58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"/>
      <c r="AA39" s="8"/>
      <c r="AB39" s="8"/>
      <c r="AC39" s="8"/>
      <c r="AD39" s="8"/>
    </row>
    <row r="40" spans="1:30" x14ac:dyDescent="0.25">
      <c r="C40" s="9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"/>
      <c r="AA40" s="8"/>
      <c r="AB40" s="8"/>
      <c r="AC40" s="8"/>
      <c r="AD40" s="8"/>
    </row>
    <row r="41" spans="1:30" x14ac:dyDescent="0.25">
      <c r="C41" s="90"/>
    </row>
    <row r="42" spans="1:30" x14ac:dyDescent="0.25">
      <c r="A42" s="140"/>
      <c r="B42" s="87"/>
      <c r="C42" s="99"/>
      <c r="D42" s="87"/>
    </row>
    <row r="43" spans="1:30" x14ac:dyDescent="0.25">
      <c r="A43" s="140"/>
      <c r="B43" s="87"/>
      <c r="C43" s="99"/>
      <c r="D43" s="87"/>
    </row>
    <row r="44" spans="1:30" x14ac:dyDescent="0.25">
      <c r="A44" s="140"/>
      <c r="B44" s="87"/>
      <c r="C44" s="99"/>
      <c r="D44" s="87"/>
    </row>
    <row r="45" spans="1:30" ht="15" x14ac:dyDescent="0.25">
      <c r="A45" s="140"/>
      <c r="B45" s="100"/>
      <c r="C45" s="99"/>
      <c r="D45" s="87"/>
    </row>
    <row r="46" spans="1:30" ht="15" x14ac:dyDescent="0.25">
      <c r="A46" s="140"/>
      <c r="B46" s="100"/>
      <c r="C46" s="99"/>
      <c r="D46" s="87"/>
    </row>
    <row r="47" spans="1:30" ht="15" x14ac:dyDescent="0.25">
      <c r="A47" s="140"/>
      <c r="B47" s="100"/>
      <c r="C47" s="99"/>
      <c r="D47" s="87"/>
    </row>
    <row r="48" spans="1:30" ht="32.4" customHeight="1" x14ac:dyDescent="0.25">
      <c r="A48" s="140"/>
      <c r="B48" s="101"/>
      <c r="C48" s="99"/>
      <c r="D48" s="87"/>
    </row>
    <row r="49" spans="1:4" x14ac:dyDescent="0.25">
      <c r="A49" s="140"/>
      <c r="B49" s="87"/>
      <c r="C49" s="87"/>
      <c r="D49" s="87"/>
    </row>
    <row r="50" spans="1:4" x14ac:dyDescent="0.25">
      <c r="A50" s="140"/>
      <c r="B50" s="87"/>
      <c r="C50" s="87"/>
      <c r="D50" s="87"/>
    </row>
    <row r="51" spans="1:4" x14ac:dyDescent="0.25">
      <c r="A51" s="140"/>
      <c r="B51" s="87"/>
      <c r="C51" s="87"/>
      <c r="D51" s="87"/>
    </row>
    <row r="52" spans="1:4" x14ac:dyDescent="0.25">
      <c r="A52" s="140"/>
      <c r="B52" s="87"/>
      <c r="C52" s="87"/>
      <c r="D52" s="87"/>
    </row>
    <row r="53" spans="1:4" x14ac:dyDescent="0.25">
      <c r="A53" s="141"/>
      <c r="B53" s="27"/>
      <c r="C53" s="27"/>
      <c r="D53" s="27"/>
    </row>
  </sheetData>
  <sheetProtection password="EF24" sheet="1" objects="1" scenarios="1"/>
  <protectedRanges>
    <protectedRange sqref="F22" name="Диапазон2"/>
    <protectedRange sqref="C11:C35" name="Диапазон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3"/>
  <sheetViews>
    <sheetView zoomScale="70" zoomScaleNormal="70" workbookViewId="0">
      <selection activeCell="L31" sqref="L31"/>
    </sheetView>
  </sheetViews>
  <sheetFormatPr defaultRowHeight="13.2" x14ac:dyDescent="0.25"/>
  <cols>
    <col min="2" max="2" width="46.88671875" customWidth="1"/>
    <col min="4" max="4" width="82" customWidth="1"/>
  </cols>
  <sheetData>
    <row r="1" spans="2:30" ht="17.399999999999999" x14ac:dyDescent="0.3">
      <c r="B1" s="124" t="s">
        <v>67</v>
      </c>
      <c r="C1" s="5"/>
      <c r="D1" s="5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30" ht="18" thickBot="1" x14ac:dyDescent="0.35">
      <c r="B2" s="88" t="s">
        <v>153</v>
      </c>
      <c r="C2" s="11"/>
      <c r="D2" s="11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30" x14ac:dyDescent="0.25">
      <c r="B3" s="126" t="s">
        <v>146</v>
      </c>
      <c r="C3" s="127"/>
      <c r="D3" s="127"/>
      <c r="E3" s="128"/>
    </row>
    <row r="4" spans="2:30" x14ac:dyDescent="0.25">
      <c r="B4" s="7"/>
      <c r="C4" s="8"/>
      <c r="D4" s="8"/>
      <c r="E4" s="9"/>
    </row>
    <row r="5" spans="2:30" x14ac:dyDescent="0.25">
      <c r="B5" s="7" t="s">
        <v>144</v>
      </c>
      <c r="C5" s="8"/>
      <c r="D5" s="8"/>
      <c r="E5" s="9"/>
    </row>
    <row r="6" spans="2:30" x14ac:dyDescent="0.25">
      <c r="B6" s="7" t="s">
        <v>128</v>
      </c>
      <c r="C6" s="8"/>
      <c r="D6" s="8"/>
      <c r="E6" s="9"/>
    </row>
    <row r="7" spans="2:30" x14ac:dyDescent="0.25">
      <c r="B7" s="7" t="s">
        <v>127</v>
      </c>
      <c r="C7" s="8"/>
      <c r="D7" s="8"/>
      <c r="E7" s="9"/>
    </row>
    <row r="8" spans="2:30" x14ac:dyDescent="0.25">
      <c r="B8" s="7" t="s">
        <v>131</v>
      </c>
      <c r="C8" s="8"/>
      <c r="D8" s="8"/>
      <c r="E8" s="9"/>
    </row>
    <row r="9" spans="2:30" ht="13.8" thickBot="1" x14ac:dyDescent="0.3">
      <c r="B9" s="7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2:30" ht="15.6" thickBot="1" x14ac:dyDescent="0.3">
      <c r="B10" s="93" t="s">
        <v>97</v>
      </c>
      <c r="C10" s="91"/>
      <c r="D10" s="94" t="s">
        <v>124</v>
      </c>
      <c r="E10" s="5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"/>
      <c r="AA10" s="8"/>
      <c r="AB10" s="8"/>
      <c r="AC10" s="8"/>
      <c r="AD10" s="8"/>
    </row>
    <row r="11" spans="2:30" ht="17.399999999999999" x14ac:dyDescent="0.3">
      <c r="B11" s="102" t="s">
        <v>133</v>
      </c>
      <c r="C11" s="110" t="s">
        <v>145</v>
      </c>
      <c r="D11" s="89" t="s">
        <v>111</v>
      </c>
      <c r="E11" s="96">
        <f>'ISO9612-РС'!D36</f>
        <v>52.052893947999415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"/>
      <c r="AA11" s="8"/>
      <c r="AB11" s="8"/>
      <c r="AC11" s="8"/>
      <c r="AD11" s="8"/>
    </row>
    <row r="12" spans="2:30" ht="17.399999999999999" x14ac:dyDescent="0.3">
      <c r="B12" s="102" t="s">
        <v>108</v>
      </c>
      <c r="C12" s="110" t="s">
        <v>145</v>
      </c>
      <c r="D12" s="89" t="s">
        <v>134</v>
      </c>
      <c r="E12" s="96">
        <f>'ISO9612-РС'!D40</f>
        <v>1.49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"/>
      <c r="AA12" s="8"/>
      <c r="AB12" s="8"/>
      <c r="AC12" s="8"/>
      <c r="AD12" s="8"/>
    </row>
    <row r="13" spans="2:30" ht="18" thickBot="1" x14ac:dyDescent="0.35">
      <c r="B13" s="106" t="s">
        <v>113</v>
      </c>
      <c r="C13" s="111">
        <v>8</v>
      </c>
      <c r="D13" s="89" t="s">
        <v>137</v>
      </c>
      <c r="E13" s="96">
        <f>'ISO9612-РС'!D42</f>
        <v>2.0297783130184444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"/>
      <c r="AA13" s="8"/>
      <c r="AB13" s="8"/>
      <c r="AC13" s="8"/>
      <c r="AD13" s="8"/>
    </row>
    <row r="14" spans="2:30" ht="18" thickBot="1" x14ac:dyDescent="0.35">
      <c r="B14" s="108" t="s">
        <v>112</v>
      </c>
      <c r="C14" s="112">
        <v>53.7</v>
      </c>
      <c r="D14" s="105" t="s">
        <v>135</v>
      </c>
      <c r="E14" s="97">
        <f ca="1">'ISO9612-РС'!D43</f>
        <v>1.4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"/>
      <c r="AA14" s="8"/>
      <c r="AB14" s="8"/>
      <c r="AC14" s="8"/>
      <c r="AD14" s="8"/>
    </row>
    <row r="15" spans="2:30" ht="17.399999999999999" x14ac:dyDescent="0.3">
      <c r="B15" s="102"/>
      <c r="C15" s="113">
        <v>50.2</v>
      </c>
      <c r="D15" s="8"/>
      <c r="E15" s="103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"/>
      <c r="AA15" s="8"/>
      <c r="AB15" s="8"/>
      <c r="AC15" s="8"/>
      <c r="AD15" s="8"/>
    </row>
    <row r="16" spans="2:30" ht="18" thickBot="1" x14ac:dyDescent="0.35">
      <c r="B16" s="102"/>
      <c r="C16" s="113">
        <v>52</v>
      </c>
      <c r="D16" s="8"/>
      <c r="E16" s="10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"/>
      <c r="AA16" s="8"/>
      <c r="AB16" s="8"/>
      <c r="AC16" s="8"/>
      <c r="AD16" s="8"/>
    </row>
    <row r="17" spans="2:30" ht="18" thickBot="1" x14ac:dyDescent="0.35">
      <c r="B17" s="102"/>
      <c r="C17" s="113">
        <v>52.6</v>
      </c>
      <c r="D17" s="104" t="s">
        <v>129</v>
      </c>
      <c r="E17" s="92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"/>
      <c r="AA17" s="8"/>
      <c r="AB17" s="8"/>
      <c r="AC17" s="8"/>
      <c r="AD17" s="8"/>
    </row>
    <row r="18" spans="2:30" ht="17.399999999999999" x14ac:dyDescent="0.3">
      <c r="B18" s="102"/>
      <c r="C18" s="113">
        <v>48.4</v>
      </c>
      <c r="D18" s="89" t="s">
        <v>96</v>
      </c>
      <c r="E18" s="96">
        <f>'ISO9612-РС'!D37</f>
        <v>52.052893947999415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"/>
      <c r="AA18" s="8"/>
      <c r="AB18" s="8"/>
      <c r="AC18" s="8"/>
      <c r="AD18" s="8"/>
    </row>
    <row r="19" spans="2:30" ht="19.2" customHeight="1" x14ac:dyDescent="0.3">
      <c r="B19" s="102"/>
      <c r="C19" s="113">
        <v>53.3</v>
      </c>
      <c r="D19" s="89" t="s">
        <v>51</v>
      </c>
      <c r="E19" s="96">
        <f ca="1">'ISO9612-РС'!D45</f>
        <v>1.857417562100671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"/>
      <c r="AA19" s="8"/>
      <c r="AB19" s="8"/>
      <c r="AC19" s="8"/>
      <c r="AD19" s="8"/>
    </row>
    <row r="20" spans="2:30" ht="17.399999999999999" x14ac:dyDescent="0.3">
      <c r="B20" s="102"/>
      <c r="C20" s="113"/>
      <c r="D20" s="89" t="s">
        <v>52</v>
      </c>
      <c r="E20" s="96">
        <f ca="1">'ISO9612-РС'!D47</f>
        <v>3.714835124201342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"/>
      <c r="AA20" s="8"/>
      <c r="AB20" s="8"/>
      <c r="AC20" s="8"/>
      <c r="AD20" s="8"/>
    </row>
    <row r="21" spans="2:30" ht="18" thickBot="1" x14ac:dyDescent="0.35">
      <c r="B21" s="102"/>
      <c r="C21" s="113"/>
      <c r="D21" s="95" t="s">
        <v>132</v>
      </c>
      <c r="E21" s="96">
        <f ca="1">'ISO9612-РС'!D46</f>
        <v>3.0647389774661069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"/>
      <c r="AA21" s="8"/>
      <c r="AB21" s="8"/>
      <c r="AC21" s="8"/>
      <c r="AD21" s="8"/>
    </row>
    <row r="22" spans="2:30" ht="16.2" thickBot="1" x14ac:dyDescent="0.35">
      <c r="B22" s="102"/>
      <c r="C22" s="113"/>
      <c r="D22" s="131" t="s">
        <v>150</v>
      </c>
      <c r="E22" s="135">
        <f>E18+10*LOG10(8/F22)</f>
        <v>50.291981357442602</v>
      </c>
      <c r="F22" s="137">
        <v>12</v>
      </c>
      <c r="G22" s="136" t="s">
        <v>151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"/>
      <c r="AA22" s="8"/>
      <c r="AB22" s="8"/>
      <c r="AC22" s="8"/>
      <c r="AD22" s="8"/>
    </row>
    <row r="23" spans="2:30" ht="13.8" thickTop="1" x14ac:dyDescent="0.25">
      <c r="B23" s="102"/>
      <c r="C23" s="113"/>
      <c r="D23" s="8"/>
      <c r="E23" s="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"/>
      <c r="AA23" s="8"/>
      <c r="AB23" s="8"/>
      <c r="AC23" s="8"/>
      <c r="AD23" s="8"/>
    </row>
    <row r="24" spans="2:30" x14ac:dyDescent="0.25">
      <c r="B24" s="102"/>
      <c r="C24" s="113"/>
      <c r="D24" s="8"/>
      <c r="E24" s="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"/>
      <c r="AA24" s="8"/>
      <c r="AB24" s="8"/>
      <c r="AC24" s="8"/>
      <c r="AD24" s="8"/>
    </row>
    <row r="25" spans="2:30" x14ac:dyDescent="0.25">
      <c r="B25" s="102"/>
      <c r="C25" s="113"/>
      <c r="D25" s="8"/>
      <c r="E25" s="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"/>
      <c r="AA25" s="8"/>
      <c r="AB25" s="8"/>
      <c r="AC25" s="8"/>
      <c r="AD25" s="8"/>
    </row>
    <row r="26" spans="2:30" x14ac:dyDescent="0.25">
      <c r="B26" s="102"/>
      <c r="C26" s="113"/>
      <c r="D26" s="8"/>
      <c r="E26" s="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"/>
      <c r="AA26" s="8"/>
      <c r="AB26" s="8"/>
      <c r="AC26" s="8"/>
      <c r="AD26" s="8"/>
    </row>
    <row r="27" spans="2:30" x14ac:dyDescent="0.25">
      <c r="B27" s="102"/>
      <c r="C27" s="113"/>
      <c r="D27" s="8"/>
      <c r="E27" s="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"/>
      <c r="AA27" s="8"/>
      <c r="AB27" s="8"/>
      <c r="AC27" s="8"/>
      <c r="AD27" s="8"/>
    </row>
    <row r="28" spans="2:30" x14ac:dyDescent="0.25">
      <c r="B28" s="102"/>
      <c r="C28" s="113"/>
      <c r="D28" s="8"/>
      <c r="E28" s="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"/>
      <c r="AA28" s="8"/>
      <c r="AB28" s="8"/>
      <c r="AC28" s="8"/>
      <c r="AD28" s="8"/>
    </row>
    <row r="29" spans="2:30" x14ac:dyDescent="0.25">
      <c r="B29" s="102"/>
      <c r="C29" s="113"/>
      <c r="D29" s="8"/>
      <c r="E29" s="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"/>
      <c r="AA29" s="8"/>
      <c r="AB29" s="8"/>
      <c r="AC29" s="8"/>
      <c r="AD29" s="8"/>
    </row>
    <row r="30" spans="2:30" x14ac:dyDescent="0.25">
      <c r="B30" s="102"/>
      <c r="C30" s="113"/>
      <c r="D30" s="8"/>
      <c r="E30" s="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"/>
      <c r="AA30" s="8"/>
      <c r="AB30" s="8"/>
      <c r="AC30" s="8"/>
      <c r="AD30" s="8"/>
    </row>
    <row r="31" spans="2:30" x14ac:dyDescent="0.25">
      <c r="B31" s="102"/>
      <c r="C31" s="113"/>
      <c r="D31" s="8"/>
      <c r="E31" s="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"/>
      <c r="AA31" s="8"/>
      <c r="AB31" s="8"/>
      <c r="AC31" s="8"/>
      <c r="AD31" s="8"/>
    </row>
    <row r="32" spans="2:30" x14ac:dyDescent="0.25">
      <c r="B32" s="102"/>
      <c r="C32" s="113"/>
      <c r="D32" s="8"/>
      <c r="E32" s="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"/>
      <c r="AA32" s="8"/>
      <c r="AB32" s="8"/>
      <c r="AC32" s="8"/>
      <c r="AD32" s="8"/>
    </row>
    <row r="33" spans="1:30" x14ac:dyDescent="0.25">
      <c r="B33" s="102"/>
      <c r="C33" s="113"/>
      <c r="D33" s="8"/>
      <c r="E33" s="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"/>
      <c r="AA33" s="8"/>
      <c r="AB33" s="8"/>
      <c r="AC33" s="8"/>
      <c r="AD33" s="8"/>
    </row>
    <row r="34" spans="1:30" ht="13.8" thickBot="1" x14ac:dyDescent="0.3">
      <c r="B34" s="109"/>
      <c r="C34" s="114"/>
      <c r="D34" s="8"/>
      <c r="E34" s="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"/>
      <c r="AA34" s="8"/>
      <c r="AB34" s="8"/>
      <c r="AC34" s="8"/>
      <c r="AD34" s="8"/>
    </row>
    <row r="35" spans="1:30" x14ac:dyDescent="0.25">
      <c r="B35" s="107" t="s">
        <v>130</v>
      </c>
      <c r="C35" s="115">
        <v>0.7</v>
      </c>
      <c r="D35" s="8"/>
      <c r="E35" s="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"/>
      <c r="AA35" s="8"/>
      <c r="AB35" s="8"/>
      <c r="AC35" s="8"/>
      <c r="AD35" s="8"/>
    </row>
    <row r="36" spans="1:30" x14ac:dyDescent="0.25">
      <c r="B36" s="7"/>
      <c r="C36" s="116"/>
      <c r="D36" s="8"/>
      <c r="E36" s="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"/>
      <c r="AA36" s="8"/>
      <c r="AB36" s="8"/>
      <c r="AC36" s="8"/>
      <c r="AD36" s="8"/>
    </row>
    <row r="37" spans="1:30" x14ac:dyDescent="0.25">
      <c r="B37" s="7" t="s">
        <v>110</v>
      </c>
      <c r="C37" s="125">
        <v>480</v>
      </c>
      <c r="D37" s="8"/>
      <c r="E37" s="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"/>
      <c r="AA37" s="8"/>
      <c r="AB37" s="8"/>
      <c r="AC37" s="8"/>
      <c r="AD37" s="8"/>
    </row>
    <row r="38" spans="1:30" ht="13.8" thickBot="1" x14ac:dyDescent="0.3">
      <c r="B38" s="10"/>
      <c r="C38" s="117"/>
      <c r="D38" s="8"/>
      <c r="E38" s="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"/>
      <c r="AA38" s="8"/>
      <c r="AB38" s="8"/>
      <c r="AC38" s="8"/>
      <c r="AD38" s="8"/>
    </row>
    <row r="39" spans="1:30" ht="15.6" thickBot="1" x14ac:dyDescent="0.3">
      <c r="B39" s="54"/>
      <c r="C39" s="55"/>
      <c r="D39" s="55"/>
      <c r="E39" s="58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"/>
      <c r="AA39" s="8"/>
      <c r="AB39" s="8"/>
      <c r="AC39" s="8"/>
      <c r="AD39" s="8"/>
    </row>
    <row r="40" spans="1:30" x14ac:dyDescent="0.25">
      <c r="C40" s="9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"/>
      <c r="AA40" s="8"/>
      <c r="AB40" s="8"/>
      <c r="AC40" s="8"/>
      <c r="AD40" s="8"/>
    </row>
    <row r="41" spans="1:30" x14ac:dyDescent="0.25">
      <c r="C41" s="90"/>
    </row>
    <row r="42" spans="1:30" x14ac:dyDescent="0.25">
      <c r="A42" s="87"/>
      <c r="B42" s="87"/>
      <c r="C42" s="99"/>
      <c r="D42" s="87"/>
    </row>
    <row r="43" spans="1:30" x14ac:dyDescent="0.25">
      <c r="A43" s="87"/>
      <c r="B43" s="87"/>
      <c r="C43" s="99"/>
      <c r="D43" s="87"/>
    </row>
    <row r="44" spans="1:30" x14ac:dyDescent="0.25">
      <c r="A44" s="87"/>
      <c r="B44" s="87"/>
      <c r="C44" s="99"/>
      <c r="D44" s="87"/>
    </row>
    <row r="45" spans="1:30" ht="15" x14ac:dyDescent="0.25">
      <c r="A45" s="87"/>
      <c r="B45" s="100"/>
      <c r="C45" s="99"/>
      <c r="D45" s="87"/>
    </row>
    <row r="46" spans="1:30" ht="15" x14ac:dyDescent="0.25">
      <c r="A46" s="87"/>
      <c r="B46" s="100"/>
      <c r="C46" s="99"/>
      <c r="D46" s="87"/>
    </row>
    <row r="47" spans="1:30" ht="15" x14ac:dyDescent="0.25">
      <c r="A47" s="87"/>
      <c r="B47" s="100"/>
      <c r="C47" s="99"/>
      <c r="D47" s="87"/>
    </row>
    <row r="48" spans="1:30" ht="32.4" customHeight="1" x14ac:dyDescent="0.25">
      <c r="A48" s="87"/>
      <c r="B48" s="101"/>
      <c r="C48" s="99"/>
      <c r="D48" s="87"/>
    </row>
    <row r="49" spans="1:4" x14ac:dyDescent="0.25">
      <c r="A49" s="87"/>
      <c r="B49" s="87"/>
      <c r="C49" s="87"/>
      <c r="D49" s="87"/>
    </row>
    <row r="50" spans="1:4" x14ac:dyDescent="0.25">
      <c r="A50" s="87"/>
      <c r="B50" s="87"/>
      <c r="C50" s="87"/>
      <c r="D50" s="87"/>
    </row>
    <row r="51" spans="1:4" x14ac:dyDescent="0.25">
      <c r="A51" s="87"/>
      <c r="B51" s="87"/>
      <c r="C51" s="87"/>
      <c r="D51" s="87"/>
    </row>
    <row r="52" spans="1:4" x14ac:dyDescent="0.25">
      <c r="A52" s="87"/>
      <c r="B52" s="87"/>
      <c r="C52" s="87"/>
      <c r="D52" s="87"/>
    </row>
    <row r="53" spans="1:4" x14ac:dyDescent="0.25">
      <c r="A53" s="27"/>
      <c r="B53" s="27"/>
      <c r="C53" s="27"/>
      <c r="D53" s="27"/>
    </row>
  </sheetData>
  <sheetProtection password="EF24" sheet="1" objects="1" scenarios="1"/>
  <protectedRanges>
    <protectedRange sqref="F22" name="Диапазон2"/>
    <protectedRange sqref="C13:C38" name="Диапазон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55"/>
  <sheetViews>
    <sheetView topLeftCell="A16" zoomScale="80" zoomScaleNormal="80" workbookViewId="0">
      <selection activeCell="I47" sqref="I47"/>
    </sheetView>
  </sheetViews>
  <sheetFormatPr defaultRowHeight="13.2" x14ac:dyDescent="0.25"/>
  <cols>
    <col min="1" max="1" width="57.44140625" customWidth="1"/>
    <col min="2" max="2" width="13.44140625" customWidth="1"/>
    <col min="3" max="3" width="10.21875" customWidth="1"/>
    <col min="4" max="4" width="11.44140625" customWidth="1"/>
    <col min="5" max="5" width="1.21875" style="28" customWidth="1"/>
    <col min="6" max="7" width="1.88671875" style="28" customWidth="1"/>
    <col min="8" max="8" width="10.5546875" customWidth="1"/>
    <col min="9" max="9" width="11.33203125" customWidth="1"/>
    <col min="10" max="10" width="1.77734375" style="28" customWidth="1"/>
    <col min="11" max="11" width="2.21875" style="28" customWidth="1"/>
    <col min="12" max="12" width="1.77734375" style="28" customWidth="1"/>
    <col min="13" max="13" width="8.21875" customWidth="1"/>
    <col min="14" max="14" width="11.44140625" customWidth="1"/>
    <col min="15" max="15" width="0.5546875" style="28" customWidth="1"/>
    <col min="16" max="16" width="1" style="28" customWidth="1"/>
    <col min="17" max="17" width="0.77734375" style="28" customWidth="1"/>
    <col min="18" max="18" width="8" customWidth="1"/>
    <col min="19" max="19" width="11" customWidth="1"/>
    <col min="20" max="20" width="0.5546875" style="28" customWidth="1"/>
    <col min="21" max="21" width="1" style="28" customWidth="1"/>
    <col min="22" max="22" width="0.77734375" style="28" customWidth="1"/>
    <col min="23" max="23" width="8" customWidth="1"/>
    <col min="24" max="24" width="11" customWidth="1"/>
    <col min="25" max="25" width="0.5546875" style="28" customWidth="1"/>
    <col min="26" max="26" width="1" style="28" customWidth="1"/>
    <col min="27" max="27" width="0.77734375" style="28" customWidth="1"/>
    <col min="28" max="28" width="8" customWidth="1"/>
    <col min="29" max="29" width="10.77734375" customWidth="1"/>
    <col min="30" max="30" width="0.5546875" style="28" customWidth="1"/>
    <col min="31" max="31" width="1" style="28" customWidth="1"/>
    <col min="32" max="32" width="0.77734375" style="28" customWidth="1"/>
    <col min="33" max="33" width="7.77734375" customWidth="1"/>
    <col min="34" max="34" width="11.44140625" customWidth="1"/>
    <col min="35" max="35" width="0.5546875" style="28" customWidth="1"/>
    <col min="36" max="36" width="1" style="28" customWidth="1"/>
    <col min="37" max="37" width="0.77734375" style="28" customWidth="1"/>
    <col min="38" max="38" width="8.44140625" customWidth="1"/>
    <col min="39" max="39" width="11.6640625" customWidth="1"/>
    <col min="40" max="40" width="0.5546875" style="28" customWidth="1"/>
    <col min="41" max="41" width="1" style="28" customWidth="1"/>
    <col min="42" max="42" width="0.77734375" style="28" customWidth="1"/>
    <col min="43" max="43" width="8.21875" customWidth="1"/>
    <col min="44" max="44" width="11.6640625" customWidth="1"/>
    <col min="45" max="45" width="0.5546875" style="28" customWidth="1"/>
    <col min="46" max="46" width="1" style="28" customWidth="1"/>
    <col min="47" max="47" width="0.77734375" style="28" customWidth="1"/>
    <col min="48" max="48" width="8" customWidth="1"/>
    <col min="49" max="49" width="11.21875" customWidth="1"/>
    <col min="50" max="50" width="0.5546875" style="28" customWidth="1"/>
    <col min="51" max="51" width="1" style="28" customWidth="1"/>
    <col min="52" max="52" width="0.77734375" style="28" customWidth="1"/>
    <col min="53" max="53" width="7.77734375" customWidth="1"/>
    <col min="54" max="54" width="12" bestFit="1" customWidth="1"/>
  </cols>
  <sheetData>
    <row r="1" spans="1:102" x14ac:dyDescent="0.25">
      <c r="C1" s="17"/>
      <c r="D1" s="17"/>
      <c r="H1" s="21"/>
      <c r="I1" s="21"/>
      <c r="M1" s="17"/>
      <c r="N1" s="17"/>
      <c r="R1" s="17"/>
      <c r="S1" s="17"/>
      <c r="W1" s="17"/>
      <c r="X1" s="17"/>
      <c r="AB1" s="17"/>
      <c r="AC1" s="17"/>
      <c r="AG1" s="17"/>
      <c r="AH1" s="17"/>
      <c r="AL1" s="17"/>
      <c r="AM1" s="17"/>
      <c r="AQ1" s="17"/>
      <c r="AR1" s="17"/>
      <c r="AV1" s="17"/>
      <c r="AW1" s="17"/>
      <c r="BA1" s="4"/>
      <c r="BB1" s="5"/>
      <c r="BC1" s="5"/>
      <c r="BD1" s="5"/>
      <c r="BE1" s="6"/>
      <c r="BF1" s="4"/>
      <c r="BG1" s="5"/>
      <c r="BH1" s="5"/>
      <c r="BI1" s="5"/>
      <c r="BJ1" s="6"/>
      <c r="BK1" s="4"/>
      <c r="BL1" s="5"/>
      <c r="BM1" s="5"/>
      <c r="BN1" s="5"/>
      <c r="BO1" s="6"/>
      <c r="BP1" s="4"/>
      <c r="BQ1" s="5"/>
      <c r="BR1" s="5"/>
      <c r="BS1" s="5"/>
      <c r="BT1" s="6"/>
      <c r="BU1" s="4"/>
      <c r="BV1" s="5"/>
      <c r="BW1" s="5"/>
      <c r="BX1" s="5"/>
      <c r="BY1" s="6"/>
      <c r="BZ1" s="4"/>
      <c r="CA1" s="5"/>
      <c r="CB1" s="5"/>
      <c r="CC1" s="5"/>
      <c r="CD1" s="6"/>
    </row>
    <row r="2" spans="1:102" x14ac:dyDescent="0.25">
      <c r="A2" t="s">
        <v>6</v>
      </c>
      <c r="C2" s="27" t="s">
        <v>18</v>
      </c>
      <c r="D2" s="27"/>
      <c r="H2" s="27" t="s">
        <v>29</v>
      </c>
      <c r="I2" s="27"/>
      <c r="M2" s="27" t="s">
        <v>36</v>
      </c>
      <c r="N2" s="27"/>
      <c r="R2" s="27" t="s">
        <v>37</v>
      </c>
      <c r="S2" s="27"/>
      <c r="W2" s="27" t="s">
        <v>38</v>
      </c>
      <c r="X2" s="27"/>
      <c r="AB2" s="27" t="s">
        <v>39</v>
      </c>
      <c r="AC2" s="27"/>
      <c r="AG2" s="27" t="s">
        <v>40</v>
      </c>
      <c r="AH2" s="27"/>
      <c r="AL2" s="27" t="s">
        <v>41</v>
      </c>
      <c r="AM2" s="27"/>
      <c r="AQ2" s="27" t="s">
        <v>42</v>
      </c>
      <c r="AR2" s="27"/>
      <c r="AV2" s="27" t="s">
        <v>43</v>
      </c>
      <c r="AW2" s="27"/>
      <c r="BA2" s="7" t="s">
        <v>9</v>
      </c>
      <c r="BB2" s="8"/>
      <c r="BC2" s="8"/>
      <c r="BD2" s="8"/>
      <c r="BE2" s="9"/>
      <c r="BF2" s="7" t="s">
        <v>29</v>
      </c>
      <c r="BG2" s="8"/>
      <c r="BH2" s="8"/>
      <c r="BI2" s="8"/>
      <c r="BJ2" s="9"/>
      <c r="BK2" s="7" t="s">
        <v>30</v>
      </c>
      <c r="BL2" s="8"/>
      <c r="BM2" s="8"/>
      <c r="BN2" s="8"/>
      <c r="BO2" s="9"/>
      <c r="BP2" s="7" t="s">
        <v>44</v>
      </c>
      <c r="BQ2" s="8"/>
      <c r="BR2" s="8"/>
      <c r="BS2" s="8"/>
      <c r="BT2" s="9"/>
      <c r="BU2" s="7" t="s">
        <v>45</v>
      </c>
      <c r="BV2" s="8"/>
      <c r="BW2" s="8"/>
      <c r="BX2" s="8"/>
      <c r="BY2" s="9"/>
      <c r="BZ2" s="7" t="s">
        <v>46</v>
      </c>
      <c r="CA2" s="8"/>
      <c r="CB2" s="8"/>
      <c r="CC2" s="8"/>
      <c r="CD2" s="9"/>
      <c r="CE2" t="s">
        <v>47</v>
      </c>
      <c r="CJ2" t="s">
        <v>48</v>
      </c>
      <c r="CO2" t="s">
        <v>49</v>
      </c>
      <c r="CT2" t="s">
        <v>50</v>
      </c>
    </row>
    <row r="3" spans="1:102" x14ac:dyDescent="0.25">
      <c r="A3" s="15" t="s">
        <v>2</v>
      </c>
      <c r="B3" s="15">
        <f>SUM(C4:AV4)</f>
        <v>4</v>
      </c>
      <c r="C3" s="17"/>
      <c r="D3" s="17"/>
      <c r="H3" s="21"/>
      <c r="I3" s="21"/>
      <c r="M3" s="17"/>
      <c r="N3" s="17"/>
      <c r="R3" s="17"/>
      <c r="S3" s="17"/>
      <c r="W3" s="17"/>
      <c r="X3" s="17"/>
      <c r="AB3" s="17"/>
      <c r="AC3" s="17"/>
      <c r="AG3" s="17"/>
      <c r="AH3" s="17"/>
      <c r="AL3" s="17"/>
      <c r="AM3" s="17"/>
      <c r="AQ3" s="17"/>
      <c r="AR3" s="17"/>
      <c r="AV3" s="17"/>
      <c r="AW3" s="17"/>
      <c r="BA3" s="7"/>
      <c r="BB3" s="8"/>
      <c r="BC3" s="8"/>
      <c r="BD3" s="8"/>
      <c r="BE3" s="9"/>
      <c r="BF3" s="7"/>
      <c r="BG3" s="8"/>
      <c r="BH3" s="8"/>
      <c r="BI3" s="8"/>
      <c r="BJ3" s="9"/>
      <c r="BK3" s="7"/>
      <c r="BL3" s="8"/>
      <c r="BM3" s="8"/>
      <c r="BN3" s="8"/>
      <c r="BO3" s="9"/>
      <c r="BP3" s="7"/>
      <c r="BQ3" s="8"/>
      <c r="BR3" s="8"/>
      <c r="BS3" s="8"/>
      <c r="BT3" s="9"/>
      <c r="BU3" s="7"/>
      <c r="BV3" s="8"/>
      <c r="BW3" s="8"/>
      <c r="BX3" s="8"/>
      <c r="BY3" s="9"/>
      <c r="BZ3" s="7"/>
      <c r="CA3" s="8"/>
      <c r="CB3" s="8"/>
      <c r="CC3" s="8"/>
      <c r="CD3" s="9"/>
    </row>
    <row r="4" spans="1:102" x14ac:dyDescent="0.25">
      <c r="B4" t="e">
        <f ca="1">OFFSET(C24,0,0,1,5*B3)</f>
        <v>#VALUE!</v>
      </c>
      <c r="C4">
        <f>IF(C6=0,0,1)</f>
        <v>1</v>
      </c>
      <c r="D4" s="17"/>
      <c r="H4">
        <f>IF(H6=0,0,1)</f>
        <v>1</v>
      </c>
      <c r="I4" s="21"/>
      <c r="M4">
        <f>IF(M6=0,0,1)</f>
        <v>1</v>
      </c>
      <c r="N4" s="17"/>
      <c r="R4">
        <f>IF(R6=0,0,1)</f>
        <v>1</v>
      </c>
      <c r="S4" s="17"/>
      <c r="W4">
        <f>IF(W6=0,0,1)</f>
        <v>0</v>
      </c>
      <c r="X4" s="17"/>
      <c r="AB4">
        <f>IF(AB6=0,0,1)</f>
        <v>0</v>
      </c>
      <c r="AC4" s="17"/>
      <c r="AG4">
        <f>IF(AG6=0,0,1)</f>
        <v>0</v>
      </c>
      <c r="AH4" s="17"/>
      <c r="AL4">
        <f>IF(AL6=0,0,1)</f>
        <v>0</v>
      </c>
      <c r="AM4" s="17"/>
      <c r="AQ4">
        <f>IF(AQ6=0,0,1)</f>
        <v>0</v>
      </c>
      <c r="AR4" s="17"/>
      <c r="AV4">
        <f>IF(AV6=0,0,1)</f>
        <v>0</v>
      </c>
      <c r="AW4" s="17"/>
      <c r="BA4" s="7" t="s">
        <v>8</v>
      </c>
      <c r="BB4" s="8"/>
      <c r="BC4" s="8"/>
      <c r="BD4" s="8"/>
      <c r="BE4" s="9" t="s">
        <v>8</v>
      </c>
      <c r="BF4" s="7" t="s">
        <v>8</v>
      </c>
      <c r="BG4" s="8"/>
      <c r="BH4" s="8"/>
      <c r="BI4" s="8"/>
      <c r="BJ4" s="9" t="s">
        <v>8</v>
      </c>
      <c r="BK4" s="7" t="s">
        <v>8</v>
      </c>
      <c r="BL4" s="8"/>
      <c r="BM4" s="8"/>
      <c r="BN4" s="8"/>
      <c r="BO4" s="9" t="s">
        <v>8</v>
      </c>
      <c r="BP4" s="7" t="s">
        <v>8</v>
      </c>
      <c r="BQ4" s="8"/>
      <c r="BR4" s="8"/>
      <c r="BS4" s="8"/>
      <c r="BT4" s="9" t="s">
        <v>8</v>
      </c>
      <c r="BU4" s="7" t="s">
        <v>8</v>
      </c>
      <c r="BV4" s="8"/>
      <c r="BW4" s="8"/>
      <c r="BX4" s="8"/>
      <c r="BY4" s="9" t="s">
        <v>8</v>
      </c>
      <c r="BZ4" s="7" t="s">
        <v>8</v>
      </c>
      <c r="CA4" s="8"/>
      <c r="CB4" s="8"/>
      <c r="CC4" s="8"/>
      <c r="CD4" s="9" t="s">
        <v>8</v>
      </c>
      <c r="CE4" t="s">
        <v>8</v>
      </c>
      <c r="CI4" t="s">
        <v>8</v>
      </c>
      <c r="CJ4" t="s">
        <v>8</v>
      </c>
      <c r="CN4" t="s">
        <v>8</v>
      </c>
      <c r="CO4" t="s">
        <v>8</v>
      </c>
      <c r="CS4" t="s">
        <v>8</v>
      </c>
      <c r="CT4" t="s">
        <v>8</v>
      </c>
      <c r="CX4" t="s">
        <v>8</v>
      </c>
    </row>
    <row r="5" spans="1:102" s="16" customFormat="1" x14ac:dyDescent="0.25">
      <c r="C5" s="18" t="s">
        <v>0</v>
      </c>
      <c r="D5" s="18" t="s">
        <v>1</v>
      </c>
      <c r="E5" s="29"/>
      <c r="F5" s="29"/>
      <c r="G5" s="29"/>
      <c r="H5" s="22" t="s">
        <v>0</v>
      </c>
      <c r="I5" s="22" t="s">
        <v>1</v>
      </c>
      <c r="J5" s="29"/>
      <c r="K5" s="29"/>
      <c r="L5" s="29"/>
      <c r="M5" s="18" t="s">
        <v>0</v>
      </c>
      <c r="N5" s="18" t="s">
        <v>1</v>
      </c>
      <c r="O5" s="29"/>
      <c r="P5" s="29"/>
      <c r="Q5" s="29"/>
      <c r="R5" s="18" t="s">
        <v>0</v>
      </c>
      <c r="S5" s="18" t="s">
        <v>1</v>
      </c>
      <c r="T5" s="29"/>
      <c r="U5" s="29"/>
      <c r="V5" s="29"/>
      <c r="W5" s="18" t="s">
        <v>0</v>
      </c>
      <c r="X5" s="18" t="s">
        <v>1</v>
      </c>
      <c r="Y5" s="29"/>
      <c r="Z5" s="29"/>
      <c r="AA5" s="29"/>
      <c r="AB5" s="18" t="s">
        <v>0</v>
      </c>
      <c r="AC5" s="18" t="s">
        <v>1</v>
      </c>
      <c r="AD5" s="29"/>
      <c r="AE5" s="29"/>
      <c r="AF5" s="29"/>
      <c r="AG5" s="18" t="s">
        <v>0</v>
      </c>
      <c r="AH5" s="18" t="s">
        <v>1</v>
      </c>
      <c r="AI5" s="29"/>
      <c r="AJ5" s="29"/>
      <c r="AK5" s="29"/>
      <c r="AL5" s="18" t="s">
        <v>0</v>
      </c>
      <c r="AM5" s="18" t="s">
        <v>1</v>
      </c>
      <c r="AN5" s="29"/>
      <c r="AO5" s="29"/>
      <c r="AP5" s="29"/>
      <c r="AQ5" s="18" t="s">
        <v>0</v>
      </c>
      <c r="AR5" s="18" t="s">
        <v>1</v>
      </c>
      <c r="AS5" s="29"/>
      <c r="AT5" s="29"/>
      <c r="AU5" s="29"/>
      <c r="AV5" s="18" t="s">
        <v>0</v>
      </c>
      <c r="AW5" s="18" t="s">
        <v>1</v>
      </c>
      <c r="AX5" s="29"/>
      <c r="AY5" s="29"/>
      <c r="AZ5" s="29"/>
      <c r="BA5" s="33"/>
      <c r="BB5" s="18" t="s">
        <v>3</v>
      </c>
      <c r="BC5" s="18" t="s">
        <v>4</v>
      </c>
      <c r="BD5" s="18" t="s">
        <v>5</v>
      </c>
      <c r="BE5" s="34"/>
      <c r="BF5" s="33"/>
      <c r="BG5" s="18" t="s">
        <v>3</v>
      </c>
      <c r="BH5" s="18" t="s">
        <v>4</v>
      </c>
      <c r="BI5" s="18" t="s">
        <v>5</v>
      </c>
      <c r="BJ5" s="34"/>
      <c r="BK5" s="33"/>
      <c r="BL5" s="18" t="s">
        <v>3</v>
      </c>
      <c r="BM5" s="18" t="s">
        <v>4</v>
      </c>
      <c r="BN5" s="18" t="s">
        <v>5</v>
      </c>
      <c r="BO5" s="34"/>
      <c r="BP5" s="33"/>
      <c r="BQ5" s="18" t="s">
        <v>3</v>
      </c>
      <c r="BR5" s="18" t="s">
        <v>4</v>
      </c>
      <c r="BS5" s="18" t="s">
        <v>5</v>
      </c>
      <c r="BT5" s="34"/>
      <c r="BU5" s="33"/>
      <c r="BV5" s="18" t="s">
        <v>3</v>
      </c>
      <c r="BW5" s="18" t="s">
        <v>4</v>
      </c>
      <c r="BX5" s="18" t="s">
        <v>5</v>
      </c>
      <c r="BY5" s="34"/>
      <c r="BZ5" s="33"/>
      <c r="CA5" s="18" t="s">
        <v>3</v>
      </c>
      <c r="CB5" s="18" t="s">
        <v>4</v>
      </c>
      <c r="CC5" s="18" t="s">
        <v>5</v>
      </c>
      <c r="CD5" s="34"/>
      <c r="CF5" s="18" t="s">
        <v>3</v>
      </c>
      <c r="CG5" s="18" t="s">
        <v>4</v>
      </c>
      <c r="CH5" s="18" t="s">
        <v>5</v>
      </c>
      <c r="CK5" s="18" t="s">
        <v>3</v>
      </c>
      <c r="CL5" s="18" t="s">
        <v>4</v>
      </c>
      <c r="CM5" s="18" t="s">
        <v>5</v>
      </c>
      <c r="CP5" s="18" t="s">
        <v>3</v>
      </c>
      <c r="CQ5" s="18" t="s">
        <v>4</v>
      </c>
      <c r="CR5" s="18" t="s">
        <v>5</v>
      </c>
      <c r="CU5" s="18" t="s">
        <v>3</v>
      </c>
      <c r="CV5" s="18" t="s">
        <v>4</v>
      </c>
      <c r="CW5" s="18" t="s">
        <v>5</v>
      </c>
    </row>
    <row r="6" spans="1:102" x14ac:dyDescent="0.25">
      <c r="A6" t="s">
        <v>19</v>
      </c>
      <c r="C6" s="17">
        <f>'Рабочая операция'!C16</f>
        <v>60</v>
      </c>
      <c r="D6" s="17">
        <f>'Рабочая операция'!D16</f>
        <v>120</v>
      </c>
      <c r="H6" s="17">
        <f>'Рабочая операция'!E16</f>
        <v>72</v>
      </c>
      <c r="I6" s="17">
        <f>'Рабочая операция'!F16</f>
        <v>120</v>
      </c>
      <c r="M6" s="17">
        <f>'Рабочая операция'!G16</f>
        <v>65</v>
      </c>
      <c r="N6" s="17">
        <f>'Рабочая операция'!H16</f>
        <v>120</v>
      </c>
      <c r="R6" s="21">
        <f>'Рабочая операция'!I16</f>
        <v>67</v>
      </c>
      <c r="S6" s="21">
        <f>'Рабочая операция'!J16</f>
        <v>120</v>
      </c>
      <c r="W6" s="21">
        <f>'Рабочая операция'!K16</f>
        <v>0</v>
      </c>
      <c r="X6" s="21">
        <f>'Рабочая операция'!L16</f>
        <v>0</v>
      </c>
      <c r="AB6" s="21">
        <f>'Рабочая операция'!M16</f>
        <v>0</v>
      </c>
      <c r="AC6" s="21">
        <f>'Рабочая операция'!N16</f>
        <v>0</v>
      </c>
      <c r="AG6" s="17">
        <f>'Рабочая операция'!O16</f>
        <v>0</v>
      </c>
      <c r="AH6" s="17">
        <f>'Рабочая операция'!P16</f>
        <v>0</v>
      </c>
      <c r="AL6" s="17">
        <f>'Рабочая операция'!Q16</f>
        <v>0</v>
      </c>
      <c r="AM6" s="17">
        <f>'Рабочая операция'!R16</f>
        <v>0</v>
      </c>
      <c r="AQ6" s="17">
        <f>'Рабочая операция'!S16</f>
        <v>0</v>
      </c>
      <c r="AR6" s="17">
        <f>'Рабочая операция'!T16</f>
        <v>0</v>
      </c>
      <c r="AV6" s="17">
        <f>'Рабочая операция'!U16</f>
        <v>0</v>
      </c>
      <c r="AW6" s="17">
        <f>'Рабочая операция'!V16</f>
        <v>0</v>
      </c>
      <c r="BA6" s="7">
        <f t="shared" ref="BA6:BA15" si="0">IF(C6=0,0,1)</f>
        <v>1</v>
      </c>
      <c r="BB6" s="35">
        <f t="shared" ref="BB6:BB15" si="1">POWER(10,0.1*C6)</f>
        <v>1000000</v>
      </c>
      <c r="BC6" s="35">
        <f t="shared" ref="BC6:BC15" si="2">IF(C6=0,0,POWER((C6-C$22),2))</f>
        <v>1</v>
      </c>
      <c r="BD6" s="35">
        <f t="shared" ref="BD6:BD15" si="3">IF(D6=0,0,POWER((D6-C$24),2))</f>
        <v>0</v>
      </c>
      <c r="BE6" s="9">
        <f t="shared" ref="BE6:BE15" si="4">IF(D6=0,0,1)</f>
        <v>1</v>
      </c>
      <c r="BF6" s="7">
        <f t="shared" ref="BF6:BF15" si="5">IF(H6=0,0,1)</f>
        <v>1</v>
      </c>
      <c r="BG6" s="35">
        <f t="shared" ref="BG6:BG15" si="6">POWER(10,0.1*H6)</f>
        <v>15848931.924611172</v>
      </c>
      <c r="BH6" s="35">
        <f t="shared" ref="BH6:BH15" si="7">IF(H6=0,0,POWER((H6-H$22),2))</f>
        <v>0.44444444444445075</v>
      </c>
      <c r="BI6" s="35">
        <f t="shared" ref="BI6:BI15" si="8">IF(I6=0,0,POWER((I6-H$24),2))</f>
        <v>0</v>
      </c>
      <c r="BJ6" s="9">
        <f t="shared" ref="BJ6:BJ15" si="9">IF(I6=0,0,1)</f>
        <v>1</v>
      </c>
      <c r="BK6" s="7">
        <f t="shared" ref="BK6:BK15" si="10">IF(M6=0,0,1)</f>
        <v>1</v>
      </c>
      <c r="BL6" s="35">
        <f t="shared" ref="BL6:BL15" si="11">POWER(10,0.1*M6)</f>
        <v>3162277.6601683851</v>
      </c>
      <c r="BM6" s="35">
        <f t="shared" ref="BM6:BM15" si="12">IF(M6=0,0,POWER((M6-M$22),2))</f>
        <v>1</v>
      </c>
      <c r="BN6" s="35">
        <f t="shared" ref="BN6:BN15" si="13">IF(N6=0,0,POWER((N6-M$24),2))</f>
        <v>0</v>
      </c>
      <c r="BO6" s="9">
        <f t="shared" ref="BO6:BO15" si="14">IF(N6=0,0,1)</f>
        <v>1</v>
      </c>
      <c r="BP6" s="7">
        <f t="shared" ref="BP6:BP15" si="15">IF(R6=0,0,1)</f>
        <v>1</v>
      </c>
      <c r="BQ6" s="35">
        <f t="shared" ref="BQ6:BQ15" si="16">POWER(10,0.1*R6)</f>
        <v>5011872.3362727314</v>
      </c>
      <c r="BR6" s="35">
        <f t="shared" ref="BR6:BR15" si="17">IF(R6=0,0,POWER((R6-R$22),2))</f>
        <v>1.7777777777777652</v>
      </c>
      <c r="BS6" s="35">
        <f t="shared" ref="BS6:BS15" si="18">IF(S6=0,0,POWER((S6-R$24),2))</f>
        <v>0</v>
      </c>
      <c r="BT6" s="9">
        <f t="shared" ref="BT6:BT15" si="19">IF(S6=0,0,1)</f>
        <v>1</v>
      </c>
      <c r="BU6" s="7">
        <f t="shared" ref="BU6:BU15" si="20">IF(W6=0,0,1)</f>
        <v>0</v>
      </c>
      <c r="BV6" s="35">
        <f t="shared" ref="BV6:BV15" si="21">POWER(10,0.1*W6)</f>
        <v>1</v>
      </c>
      <c r="BW6" s="35">
        <f t="shared" ref="BW6:BW15" si="22">IF(W6=0,0,POWER((W6-W$22),2))</f>
        <v>0</v>
      </c>
      <c r="BX6" s="35">
        <f t="shared" ref="BX6:BX15" si="23">IF(X6=0,0,POWER((X6-W$24),2))</f>
        <v>0</v>
      </c>
      <c r="BY6" s="9">
        <f t="shared" ref="BY6:BY15" si="24">IF(X6=0,0,1)</f>
        <v>0</v>
      </c>
      <c r="BZ6" s="7">
        <f t="shared" ref="BZ6:BZ15" si="25">IF(AB6=0,0,1)</f>
        <v>0</v>
      </c>
      <c r="CA6" s="35">
        <f t="shared" ref="CA6:CA15" si="26">POWER(10,0.1*AB6)</f>
        <v>1</v>
      </c>
      <c r="CB6" s="35">
        <f t="shared" ref="CB6:CB15" si="27">IF(AB6=0,0,POWER((AB6-AB$22),2))</f>
        <v>0</v>
      </c>
      <c r="CC6" s="35">
        <f t="shared" ref="CC6:CC15" si="28">IF(AC6=0,0,POWER((AC6-AB$24),2))</f>
        <v>0</v>
      </c>
      <c r="CD6" s="9">
        <f t="shared" ref="CD6:CD15" si="29">IF(AC6=0,0,1)</f>
        <v>0</v>
      </c>
      <c r="CE6">
        <f t="shared" ref="CE6:CE15" si="30">IF(AG6=0,0,1)</f>
        <v>0</v>
      </c>
      <c r="CF6" s="17">
        <f t="shared" ref="CF6:CF15" si="31">POWER(10,0.1*AG6)</f>
        <v>1</v>
      </c>
      <c r="CG6" s="17">
        <f t="shared" ref="CG6:CG15" si="32">IF(AG6=0,0,POWER((AG6-AG$22),2))</f>
        <v>0</v>
      </c>
      <c r="CH6" s="17">
        <f t="shared" ref="CH6:CH15" si="33">IF(AH6=0,0,POWER((AH6-AG$24),2))</f>
        <v>0</v>
      </c>
      <c r="CI6">
        <f t="shared" ref="CI6:CI15" si="34">IF(AH6=0,0,1)</f>
        <v>0</v>
      </c>
      <c r="CJ6">
        <f t="shared" ref="CJ6:CJ15" si="35">IF(AL6=0,0,1)</f>
        <v>0</v>
      </c>
      <c r="CK6" s="17">
        <f t="shared" ref="CK6:CK15" si="36">POWER(10,0.1*AL6)</f>
        <v>1</v>
      </c>
      <c r="CL6" s="17">
        <f t="shared" ref="CL6:CL15" si="37">IF(AL6=0,0,POWER((AL6-AL$22),2))</f>
        <v>0</v>
      </c>
      <c r="CM6" s="17">
        <f t="shared" ref="CM6:CM15" si="38">IF(AM6=0,0,POWER((AM6-AL$24),2))</f>
        <v>0</v>
      </c>
      <c r="CN6">
        <f t="shared" ref="CN6:CN15" si="39">IF(AM6=0,0,1)</f>
        <v>0</v>
      </c>
      <c r="CO6">
        <f t="shared" ref="CO6:CO15" si="40">IF(AQ6=0,0,1)</f>
        <v>0</v>
      </c>
      <c r="CP6" s="17">
        <f t="shared" ref="CP6:CP15" si="41">POWER(10,0.1*AQ6)</f>
        <v>1</v>
      </c>
      <c r="CQ6" s="17">
        <f t="shared" ref="CQ6:CQ15" si="42">IF(AQ6=0,0,POWER((AQ6-AQ$22),2))</f>
        <v>0</v>
      </c>
      <c r="CR6" s="17">
        <f t="shared" ref="CR6:CR15" si="43">IF(AR6=0,0,POWER((AR6-AQ$24),2))</f>
        <v>0</v>
      </c>
      <c r="CS6">
        <f t="shared" ref="CS6:CS15" si="44">IF(AR6=0,0,1)</f>
        <v>0</v>
      </c>
      <c r="CT6">
        <f t="shared" ref="CT6:CT15" si="45">IF(AV6=0,0,1)</f>
        <v>0</v>
      </c>
      <c r="CU6" s="17">
        <f t="shared" ref="CU6:CU15" si="46">POWER(10,0.1*AV6)</f>
        <v>1</v>
      </c>
      <c r="CV6" s="17">
        <f t="shared" ref="CV6:CV15" si="47">IF(AV6=0,0,POWER((AV6-AV$22),2))</f>
        <v>0</v>
      </c>
      <c r="CW6" s="17">
        <f t="shared" ref="CW6:CW15" si="48">IF(AW6=0,0,POWER((AW6-AV$24),2))</f>
        <v>0</v>
      </c>
      <c r="CX6">
        <f t="shared" ref="CX6:CX15" si="49">IF(AW6=0,0,1)</f>
        <v>0</v>
      </c>
    </row>
    <row r="7" spans="1:102" x14ac:dyDescent="0.25">
      <c r="A7" t="s">
        <v>20</v>
      </c>
      <c r="C7" s="17">
        <f>'Рабочая операция'!C17</f>
        <v>61</v>
      </c>
      <c r="D7" s="17">
        <f>'Рабочая операция'!D17</f>
        <v>120</v>
      </c>
      <c r="H7" s="17">
        <f>'Рабочая операция'!E17</f>
        <v>70</v>
      </c>
      <c r="I7" s="17">
        <f>'Рабочая операция'!F17</f>
        <v>120</v>
      </c>
      <c r="M7" s="17">
        <f>'Рабочая операция'!G17</f>
        <v>66</v>
      </c>
      <c r="N7" s="17">
        <f>'Рабочая операция'!H17</f>
        <v>120</v>
      </c>
      <c r="R7" s="21">
        <f>'Рабочая операция'!I17</f>
        <v>69</v>
      </c>
      <c r="S7" s="21">
        <f>'Рабочая операция'!J17</f>
        <v>120</v>
      </c>
      <c r="W7" s="21">
        <f>'Рабочая операция'!K17</f>
        <v>0</v>
      </c>
      <c r="X7" s="21">
        <f>'Рабочая операция'!L17</f>
        <v>0</v>
      </c>
      <c r="AB7" s="21">
        <f>'Рабочая операция'!M17</f>
        <v>0</v>
      </c>
      <c r="AC7" s="21">
        <f>'Рабочая операция'!N17</f>
        <v>0</v>
      </c>
      <c r="AG7" s="17">
        <f>'Рабочая операция'!O17</f>
        <v>0</v>
      </c>
      <c r="AH7" s="17">
        <f>'Рабочая операция'!P17</f>
        <v>0</v>
      </c>
      <c r="AL7" s="17">
        <f>'Рабочая операция'!Q17</f>
        <v>0</v>
      </c>
      <c r="AM7" s="17">
        <f>'Рабочая операция'!R17</f>
        <v>0</v>
      </c>
      <c r="AQ7" s="17">
        <f>'Рабочая операция'!S17</f>
        <v>0</v>
      </c>
      <c r="AR7" s="17">
        <f>'Рабочая операция'!T17</f>
        <v>0</v>
      </c>
      <c r="AV7" s="17">
        <f>'Рабочая операция'!U17</f>
        <v>0</v>
      </c>
      <c r="AW7" s="17">
        <f>'Рабочая операция'!V17</f>
        <v>0</v>
      </c>
      <c r="BA7" s="7">
        <f t="shared" si="0"/>
        <v>1</v>
      </c>
      <c r="BB7" s="35">
        <f t="shared" si="1"/>
        <v>1258925.4117941698</v>
      </c>
      <c r="BC7" s="35">
        <f t="shared" si="2"/>
        <v>0</v>
      </c>
      <c r="BD7" s="35">
        <f t="shared" si="3"/>
        <v>0</v>
      </c>
      <c r="BE7" s="9">
        <f t="shared" si="4"/>
        <v>1</v>
      </c>
      <c r="BF7" s="7">
        <f t="shared" si="5"/>
        <v>1</v>
      </c>
      <c r="BG7" s="35">
        <f t="shared" si="6"/>
        <v>10000000</v>
      </c>
      <c r="BH7" s="35">
        <f t="shared" si="7"/>
        <v>1.7777777777777652</v>
      </c>
      <c r="BI7" s="35">
        <f t="shared" si="8"/>
        <v>0</v>
      </c>
      <c r="BJ7" s="9">
        <f t="shared" si="9"/>
        <v>1</v>
      </c>
      <c r="BK7" s="7">
        <f t="shared" si="10"/>
        <v>1</v>
      </c>
      <c r="BL7" s="35">
        <f t="shared" si="11"/>
        <v>3981071.705534983</v>
      </c>
      <c r="BM7" s="35">
        <f t="shared" si="12"/>
        <v>0</v>
      </c>
      <c r="BN7" s="35">
        <f t="shared" si="13"/>
        <v>0</v>
      </c>
      <c r="BO7" s="9">
        <f t="shared" si="14"/>
        <v>1</v>
      </c>
      <c r="BP7" s="7">
        <f t="shared" si="15"/>
        <v>1</v>
      </c>
      <c r="BQ7" s="35">
        <f t="shared" si="16"/>
        <v>7943282.3472428275</v>
      </c>
      <c r="BR7" s="35">
        <f t="shared" si="17"/>
        <v>0.44444444444445075</v>
      </c>
      <c r="BS7" s="35">
        <f t="shared" si="18"/>
        <v>0</v>
      </c>
      <c r="BT7" s="9">
        <f t="shared" si="19"/>
        <v>1</v>
      </c>
      <c r="BU7" s="7">
        <f t="shared" si="20"/>
        <v>0</v>
      </c>
      <c r="BV7" s="35">
        <f t="shared" si="21"/>
        <v>1</v>
      </c>
      <c r="BW7" s="35">
        <f t="shared" si="22"/>
        <v>0</v>
      </c>
      <c r="BX7" s="35">
        <f t="shared" si="23"/>
        <v>0</v>
      </c>
      <c r="BY7" s="9">
        <f t="shared" si="24"/>
        <v>0</v>
      </c>
      <c r="BZ7" s="7">
        <f t="shared" si="25"/>
        <v>0</v>
      </c>
      <c r="CA7" s="35">
        <f t="shared" si="26"/>
        <v>1</v>
      </c>
      <c r="CB7" s="35">
        <f t="shared" si="27"/>
        <v>0</v>
      </c>
      <c r="CC7" s="35">
        <f t="shared" si="28"/>
        <v>0</v>
      </c>
      <c r="CD7" s="9">
        <f t="shared" si="29"/>
        <v>0</v>
      </c>
      <c r="CE7">
        <f t="shared" si="30"/>
        <v>0</v>
      </c>
      <c r="CF7" s="17">
        <f t="shared" si="31"/>
        <v>1</v>
      </c>
      <c r="CG7" s="17">
        <f t="shared" si="32"/>
        <v>0</v>
      </c>
      <c r="CH7" s="17">
        <f t="shared" si="33"/>
        <v>0</v>
      </c>
      <c r="CI7">
        <f t="shared" si="34"/>
        <v>0</v>
      </c>
      <c r="CJ7">
        <f t="shared" si="35"/>
        <v>0</v>
      </c>
      <c r="CK7" s="17">
        <f t="shared" si="36"/>
        <v>1</v>
      </c>
      <c r="CL7" s="17">
        <f t="shared" si="37"/>
        <v>0</v>
      </c>
      <c r="CM7" s="17">
        <f t="shared" si="38"/>
        <v>0</v>
      </c>
      <c r="CN7">
        <f t="shared" si="39"/>
        <v>0</v>
      </c>
      <c r="CO7">
        <f t="shared" si="40"/>
        <v>0</v>
      </c>
      <c r="CP7" s="17">
        <f t="shared" si="41"/>
        <v>1</v>
      </c>
      <c r="CQ7" s="17">
        <f t="shared" si="42"/>
        <v>0</v>
      </c>
      <c r="CR7" s="17">
        <f t="shared" si="43"/>
        <v>0</v>
      </c>
      <c r="CS7">
        <f t="shared" si="44"/>
        <v>0</v>
      </c>
      <c r="CT7">
        <f t="shared" si="45"/>
        <v>0</v>
      </c>
      <c r="CU7" s="17">
        <f t="shared" si="46"/>
        <v>1</v>
      </c>
      <c r="CV7" s="17">
        <f t="shared" si="47"/>
        <v>0</v>
      </c>
      <c r="CW7" s="17">
        <f t="shared" si="48"/>
        <v>0</v>
      </c>
      <c r="CX7">
        <f t="shared" si="49"/>
        <v>0</v>
      </c>
    </row>
    <row r="8" spans="1:102" x14ac:dyDescent="0.25">
      <c r="A8" t="s">
        <v>21</v>
      </c>
      <c r="C8" s="17">
        <f>'Рабочая операция'!C18</f>
        <v>62</v>
      </c>
      <c r="D8" s="17">
        <f>'Рабочая операция'!D18</f>
        <v>0</v>
      </c>
      <c r="H8" s="17">
        <f>'Рабочая операция'!E18</f>
        <v>72</v>
      </c>
      <c r="I8" s="17">
        <f>'Рабочая операция'!F18</f>
        <v>0</v>
      </c>
      <c r="M8" s="17">
        <f>'Рабочая операция'!G18</f>
        <v>67</v>
      </c>
      <c r="N8" s="17">
        <f>'Рабочая операция'!H18</f>
        <v>0</v>
      </c>
      <c r="R8" s="21">
        <f>'Рабочая операция'!I18</f>
        <v>69</v>
      </c>
      <c r="S8" s="21">
        <f>'Рабочая операция'!J18</f>
        <v>0</v>
      </c>
      <c r="W8" s="21">
        <f>'Рабочая операция'!K18</f>
        <v>0</v>
      </c>
      <c r="X8" s="21">
        <f>'Рабочая операция'!L18</f>
        <v>0</v>
      </c>
      <c r="AB8" s="21">
        <f>'Рабочая операция'!M18</f>
        <v>0</v>
      </c>
      <c r="AC8" s="21">
        <f>'Рабочая операция'!N18</f>
        <v>0</v>
      </c>
      <c r="AG8" s="17">
        <f>'Рабочая операция'!O18</f>
        <v>0</v>
      </c>
      <c r="AH8" s="17">
        <f>'Рабочая операция'!P18</f>
        <v>0</v>
      </c>
      <c r="AL8" s="17">
        <f>'Рабочая операция'!Q18</f>
        <v>0</v>
      </c>
      <c r="AM8" s="17">
        <f>'Рабочая операция'!R18</f>
        <v>0</v>
      </c>
      <c r="AQ8" s="17">
        <f>'Рабочая операция'!S18</f>
        <v>0</v>
      </c>
      <c r="AR8" s="17">
        <f>'Рабочая операция'!T18</f>
        <v>0</v>
      </c>
      <c r="AV8" s="17">
        <f>'Рабочая операция'!U18</f>
        <v>0</v>
      </c>
      <c r="AW8" s="17">
        <f>'Рабочая операция'!V18</f>
        <v>0</v>
      </c>
      <c r="BA8" s="7">
        <f t="shared" si="0"/>
        <v>1</v>
      </c>
      <c r="BB8" s="35">
        <f t="shared" si="1"/>
        <v>1584893.1924611153</v>
      </c>
      <c r="BC8" s="35">
        <f t="shared" si="2"/>
        <v>1</v>
      </c>
      <c r="BD8" s="35">
        <f t="shared" si="3"/>
        <v>0</v>
      </c>
      <c r="BE8" s="9">
        <f t="shared" si="4"/>
        <v>0</v>
      </c>
      <c r="BF8" s="7">
        <f t="shared" si="5"/>
        <v>1</v>
      </c>
      <c r="BG8" s="35">
        <f t="shared" si="6"/>
        <v>15848931.924611172</v>
      </c>
      <c r="BH8" s="35">
        <f t="shared" si="7"/>
        <v>0.44444444444445075</v>
      </c>
      <c r="BI8" s="35">
        <f t="shared" si="8"/>
        <v>0</v>
      </c>
      <c r="BJ8" s="9">
        <f t="shared" si="9"/>
        <v>0</v>
      </c>
      <c r="BK8" s="7">
        <f t="shared" si="10"/>
        <v>1</v>
      </c>
      <c r="BL8" s="35">
        <f t="shared" si="11"/>
        <v>5011872.3362727314</v>
      </c>
      <c r="BM8" s="35">
        <f t="shared" si="12"/>
        <v>1</v>
      </c>
      <c r="BN8" s="35">
        <f t="shared" si="13"/>
        <v>0</v>
      </c>
      <c r="BO8" s="9">
        <f t="shared" si="14"/>
        <v>0</v>
      </c>
      <c r="BP8" s="7">
        <f t="shared" si="15"/>
        <v>1</v>
      </c>
      <c r="BQ8" s="35">
        <f t="shared" si="16"/>
        <v>7943282.3472428275</v>
      </c>
      <c r="BR8" s="35">
        <f t="shared" si="17"/>
        <v>0.44444444444445075</v>
      </c>
      <c r="BS8" s="35">
        <f t="shared" si="18"/>
        <v>0</v>
      </c>
      <c r="BT8" s="9">
        <f t="shared" si="19"/>
        <v>0</v>
      </c>
      <c r="BU8" s="7">
        <f t="shared" si="20"/>
        <v>0</v>
      </c>
      <c r="BV8" s="35">
        <f t="shared" si="21"/>
        <v>1</v>
      </c>
      <c r="BW8" s="35">
        <f t="shared" si="22"/>
        <v>0</v>
      </c>
      <c r="BX8" s="35">
        <f t="shared" si="23"/>
        <v>0</v>
      </c>
      <c r="BY8" s="9">
        <f t="shared" si="24"/>
        <v>0</v>
      </c>
      <c r="BZ8" s="7">
        <f t="shared" si="25"/>
        <v>0</v>
      </c>
      <c r="CA8" s="35">
        <f t="shared" si="26"/>
        <v>1</v>
      </c>
      <c r="CB8" s="35">
        <f t="shared" si="27"/>
        <v>0</v>
      </c>
      <c r="CC8" s="35">
        <f t="shared" si="28"/>
        <v>0</v>
      </c>
      <c r="CD8" s="9">
        <f t="shared" si="29"/>
        <v>0</v>
      </c>
      <c r="CE8">
        <f t="shared" si="30"/>
        <v>0</v>
      </c>
      <c r="CF8" s="17">
        <f t="shared" si="31"/>
        <v>1</v>
      </c>
      <c r="CG8" s="17">
        <f t="shared" si="32"/>
        <v>0</v>
      </c>
      <c r="CH8" s="17">
        <f t="shared" si="33"/>
        <v>0</v>
      </c>
      <c r="CI8">
        <f t="shared" si="34"/>
        <v>0</v>
      </c>
      <c r="CJ8">
        <f t="shared" si="35"/>
        <v>0</v>
      </c>
      <c r="CK8" s="17">
        <f t="shared" si="36"/>
        <v>1</v>
      </c>
      <c r="CL8" s="17">
        <f t="shared" si="37"/>
        <v>0</v>
      </c>
      <c r="CM8" s="17">
        <f t="shared" si="38"/>
        <v>0</v>
      </c>
      <c r="CN8">
        <f t="shared" si="39"/>
        <v>0</v>
      </c>
      <c r="CO8">
        <f t="shared" si="40"/>
        <v>0</v>
      </c>
      <c r="CP8" s="17">
        <f t="shared" si="41"/>
        <v>1</v>
      </c>
      <c r="CQ8" s="17">
        <f t="shared" si="42"/>
        <v>0</v>
      </c>
      <c r="CR8" s="17">
        <f t="shared" si="43"/>
        <v>0</v>
      </c>
      <c r="CS8">
        <f t="shared" si="44"/>
        <v>0</v>
      </c>
      <c r="CT8">
        <f t="shared" si="45"/>
        <v>0</v>
      </c>
      <c r="CU8" s="17">
        <f t="shared" si="46"/>
        <v>1</v>
      </c>
      <c r="CV8" s="17">
        <f t="shared" si="47"/>
        <v>0</v>
      </c>
      <c r="CW8" s="17">
        <f t="shared" si="48"/>
        <v>0</v>
      </c>
      <c r="CX8">
        <f t="shared" si="49"/>
        <v>0</v>
      </c>
    </row>
    <row r="9" spans="1:102" x14ac:dyDescent="0.25">
      <c r="A9" t="s">
        <v>22</v>
      </c>
      <c r="C9" s="17">
        <f>'Рабочая операция'!C19</f>
        <v>0</v>
      </c>
      <c r="D9" s="17">
        <f>'Рабочая операция'!D19</f>
        <v>0</v>
      </c>
      <c r="H9" s="17">
        <f>'Рабочая операция'!E19</f>
        <v>0</v>
      </c>
      <c r="I9" s="17">
        <f>'Рабочая операция'!F19</f>
        <v>0</v>
      </c>
      <c r="M9" s="17">
        <f>'Рабочая операция'!G19</f>
        <v>0</v>
      </c>
      <c r="N9" s="17">
        <f>'Рабочая операция'!H19</f>
        <v>0</v>
      </c>
      <c r="R9" s="21">
        <f>'Рабочая операция'!I19</f>
        <v>0</v>
      </c>
      <c r="S9" s="21">
        <f>'Рабочая операция'!J19</f>
        <v>0</v>
      </c>
      <c r="W9" s="21">
        <f>'Рабочая операция'!K19</f>
        <v>0</v>
      </c>
      <c r="X9" s="21">
        <f>'Рабочая операция'!L19</f>
        <v>0</v>
      </c>
      <c r="AB9" s="21">
        <f>'Рабочая операция'!M19</f>
        <v>0</v>
      </c>
      <c r="AC9" s="21">
        <f>'Рабочая операция'!N19</f>
        <v>0</v>
      </c>
      <c r="AG9" s="17">
        <f>'Рабочая операция'!O19</f>
        <v>0</v>
      </c>
      <c r="AH9" s="17">
        <f>'Рабочая операция'!P19</f>
        <v>0</v>
      </c>
      <c r="AL9" s="17">
        <f>'Рабочая операция'!Q19</f>
        <v>0</v>
      </c>
      <c r="AM9" s="17">
        <f>'Рабочая операция'!R19</f>
        <v>0</v>
      </c>
      <c r="AQ9" s="17">
        <f>'Рабочая операция'!S19</f>
        <v>0</v>
      </c>
      <c r="AR9" s="17">
        <f>'Рабочая операция'!T19</f>
        <v>0</v>
      </c>
      <c r="AV9" s="17">
        <f>'Рабочая операция'!U19</f>
        <v>0</v>
      </c>
      <c r="AW9" s="17">
        <f>'Рабочая операция'!V19</f>
        <v>0</v>
      </c>
      <c r="BA9" s="7">
        <f t="shared" si="0"/>
        <v>0</v>
      </c>
      <c r="BB9" s="35">
        <f t="shared" si="1"/>
        <v>1</v>
      </c>
      <c r="BC9" s="35">
        <f t="shared" si="2"/>
        <v>0</v>
      </c>
      <c r="BD9" s="35">
        <f t="shared" si="3"/>
        <v>0</v>
      </c>
      <c r="BE9" s="9">
        <f t="shared" si="4"/>
        <v>0</v>
      </c>
      <c r="BF9" s="7">
        <f t="shared" si="5"/>
        <v>0</v>
      </c>
      <c r="BG9" s="35">
        <f t="shared" si="6"/>
        <v>1</v>
      </c>
      <c r="BH9" s="35">
        <f t="shared" si="7"/>
        <v>0</v>
      </c>
      <c r="BI9" s="35">
        <f t="shared" si="8"/>
        <v>0</v>
      </c>
      <c r="BJ9" s="9">
        <f t="shared" si="9"/>
        <v>0</v>
      </c>
      <c r="BK9" s="7">
        <f t="shared" si="10"/>
        <v>0</v>
      </c>
      <c r="BL9" s="35">
        <f t="shared" si="11"/>
        <v>1</v>
      </c>
      <c r="BM9" s="35">
        <f t="shared" si="12"/>
        <v>0</v>
      </c>
      <c r="BN9" s="35">
        <f t="shared" si="13"/>
        <v>0</v>
      </c>
      <c r="BO9" s="9">
        <f t="shared" si="14"/>
        <v>0</v>
      </c>
      <c r="BP9" s="7">
        <f t="shared" si="15"/>
        <v>0</v>
      </c>
      <c r="BQ9" s="35">
        <f t="shared" si="16"/>
        <v>1</v>
      </c>
      <c r="BR9" s="35">
        <f t="shared" si="17"/>
        <v>0</v>
      </c>
      <c r="BS9" s="35">
        <f t="shared" si="18"/>
        <v>0</v>
      </c>
      <c r="BT9" s="9">
        <f t="shared" si="19"/>
        <v>0</v>
      </c>
      <c r="BU9" s="7">
        <f t="shared" si="20"/>
        <v>0</v>
      </c>
      <c r="BV9" s="35">
        <f t="shared" si="21"/>
        <v>1</v>
      </c>
      <c r="BW9" s="35">
        <f t="shared" si="22"/>
        <v>0</v>
      </c>
      <c r="BX9" s="35">
        <f t="shared" si="23"/>
        <v>0</v>
      </c>
      <c r="BY9" s="9">
        <f t="shared" si="24"/>
        <v>0</v>
      </c>
      <c r="BZ9" s="7">
        <f t="shared" si="25"/>
        <v>0</v>
      </c>
      <c r="CA9" s="35">
        <f t="shared" si="26"/>
        <v>1</v>
      </c>
      <c r="CB9" s="35">
        <f t="shared" si="27"/>
        <v>0</v>
      </c>
      <c r="CC9" s="35">
        <f t="shared" si="28"/>
        <v>0</v>
      </c>
      <c r="CD9" s="9">
        <f t="shared" si="29"/>
        <v>0</v>
      </c>
      <c r="CE9">
        <f t="shared" si="30"/>
        <v>0</v>
      </c>
      <c r="CF9" s="17">
        <f t="shared" si="31"/>
        <v>1</v>
      </c>
      <c r="CG9" s="17">
        <f t="shared" si="32"/>
        <v>0</v>
      </c>
      <c r="CH9" s="17">
        <f t="shared" si="33"/>
        <v>0</v>
      </c>
      <c r="CI9">
        <f t="shared" si="34"/>
        <v>0</v>
      </c>
      <c r="CJ9">
        <f t="shared" si="35"/>
        <v>0</v>
      </c>
      <c r="CK9" s="17">
        <f t="shared" si="36"/>
        <v>1</v>
      </c>
      <c r="CL9" s="17">
        <f t="shared" si="37"/>
        <v>0</v>
      </c>
      <c r="CM9" s="17">
        <f t="shared" si="38"/>
        <v>0</v>
      </c>
      <c r="CN9">
        <f t="shared" si="39"/>
        <v>0</v>
      </c>
      <c r="CO9">
        <f t="shared" si="40"/>
        <v>0</v>
      </c>
      <c r="CP9" s="17">
        <f t="shared" si="41"/>
        <v>1</v>
      </c>
      <c r="CQ9" s="17">
        <f t="shared" si="42"/>
        <v>0</v>
      </c>
      <c r="CR9" s="17">
        <f t="shared" si="43"/>
        <v>0</v>
      </c>
      <c r="CS9">
        <f t="shared" si="44"/>
        <v>0</v>
      </c>
      <c r="CT9">
        <f t="shared" si="45"/>
        <v>0</v>
      </c>
      <c r="CU9" s="17">
        <f t="shared" si="46"/>
        <v>1</v>
      </c>
      <c r="CV9" s="17">
        <f t="shared" si="47"/>
        <v>0</v>
      </c>
      <c r="CW9" s="17">
        <f t="shared" si="48"/>
        <v>0</v>
      </c>
      <c r="CX9">
        <f t="shared" si="49"/>
        <v>0</v>
      </c>
    </row>
    <row r="10" spans="1:102" x14ac:dyDescent="0.25">
      <c r="A10" t="s">
        <v>23</v>
      </c>
      <c r="C10" s="17">
        <f>'Рабочая операция'!C20</f>
        <v>0</v>
      </c>
      <c r="D10" s="17">
        <f>'Рабочая операция'!D20</f>
        <v>0</v>
      </c>
      <c r="H10" s="17">
        <f>'Рабочая операция'!E20</f>
        <v>0</v>
      </c>
      <c r="I10" s="17">
        <f>'Рабочая операция'!F20</f>
        <v>0</v>
      </c>
      <c r="M10" s="17">
        <f>'Рабочая операция'!G20</f>
        <v>0</v>
      </c>
      <c r="N10" s="17">
        <f>'Рабочая операция'!H20</f>
        <v>0</v>
      </c>
      <c r="R10" s="21">
        <f>'Рабочая операция'!I20</f>
        <v>0</v>
      </c>
      <c r="S10" s="21">
        <f>'Рабочая операция'!J20</f>
        <v>0</v>
      </c>
      <c r="W10" s="21">
        <f>'Рабочая операция'!K20</f>
        <v>0</v>
      </c>
      <c r="X10" s="21">
        <f>'Рабочая операция'!L20</f>
        <v>0</v>
      </c>
      <c r="AB10" s="21">
        <f>'Рабочая операция'!M20</f>
        <v>0</v>
      </c>
      <c r="AC10" s="21">
        <f>'Рабочая операция'!N20</f>
        <v>0</v>
      </c>
      <c r="AG10" s="17">
        <f>'Рабочая операция'!O20</f>
        <v>0</v>
      </c>
      <c r="AH10" s="17">
        <f>'Рабочая операция'!P20</f>
        <v>0</v>
      </c>
      <c r="AL10" s="17">
        <f>'Рабочая операция'!Q20</f>
        <v>0</v>
      </c>
      <c r="AM10" s="17">
        <f>'Рабочая операция'!R20</f>
        <v>0</v>
      </c>
      <c r="AQ10" s="17">
        <f>'Рабочая операция'!S20</f>
        <v>0</v>
      </c>
      <c r="AR10" s="17">
        <f>'Рабочая операция'!T20</f>
        <v>0</v>
      </c>
      <c r="AV10" s="17">
        <f>'Рабочая операция'!U20</f>
        <v>0</v>
      </c>
      <c r="AW10" s="17">
        <f>'Рабочая операция'!V20</f>
        <v>0</v>
      </c>
      <c r="BA10" s="7">
        <f t="shared" si="0"/>
        <v>0</v>
      </c>
      <c r="BB10" s="35">
        <f t="shared" si="1"/>
        <v>1</v>
      </c>
      <c r="BC10" s="35">
        <f t="shared" si="2"/>
        <v>0</v>
      </c>
      <c r="BD10" s="35">
        <f t="shared" si="3"/>
        <v>0</v>
      </c>
      <c r="BE10" s="9">
        <f t="shared" si="4"/>
        <v>0</v>
      </c>
      <c r="BF10" s="7">
        <f t="shared" si="5"/>
        <v>0</v>
      </c>
      <c r="BG10" s="35">
        <f t="shared" si="6"/>
        <v>1</v>
      </c>
      <c r="BH10" s="35">
        <f t="shared" si="7"/>
        <v>0</v>
      </c>
      <c r="BI10" s="35">
        <f t="shared" si="8"/>
        <v>0</v>
      </c>
      <c r="BJ10" s="9">
        <f t="shared" si="9"/>
        <v>0</v>
      </c>
      <c r="BK10" s="7">
        <f t="shared" si="10"/>
        <v>0</v>
      </c>
      <c r="BL10" s="35">
        <f t="shared" si="11"/>
        <v>1</v>
      </c>
      <c r="BM10" s="35">
        <f t="shared" si="12"/>
        <v>0</v>
      </c>
      <c r="BN10" s="35">
        <f t="shared" si="13"/>
        <v>0</v>
      </c>
      <c r="BO10" s="9">
        <f t="shared" si="14"/>
        <v>0</v>
      </c>
      <c r="BP10" s="7">
        <f t="shared" si="15"/>
        <v>0</v>
      </c>
      <c r="BQ10" s="35">
        <f t="shared" si="16"/>
        <v>1</v>
      </c>
      <c r="BR10" s="35">
        <f t="shared" si="17"/>
        <v>0</v>
      </c>
      <c r="BS10" s="35">
        <f t="shared" si="18"/>
        <v>0</v>
      </c>
      <c r="BT10" s="9">
        <f t="shared" si="19"/>
        <v>0</v>
      </c>
      <c r="BU10" s="7">
        <f t="shared" si="20"/>
        <v>0</v>
      </c>
      <c r="BV10" s="35">
        <f t="shared" si="21"/>
        <v>1</v>
      </c>
      <c r="BW10" s="35">
        <f t="shared" si="22"/>
        <v>0</v>
      </c>
      <c r="BX10" s="35">
        <f t="shared" si="23"/>
        <v>0</v>
      </c>
      <c r="BY10" s="9">
        <f t="shared" si="24"/>
        <v>0</v>
      </c>
      <c r="BZ10" s="7">
        <f t="shared" si="25"/>
        <v>0</v>
      </c>
      <c r="CA10" s="35">
        <f t="shared" si="26"/>
        <v>1</v>
      </c>
      <c r="CB10" s="35">
        <f t="shared" si="27"/>
        <v>0</v>
      </c>
      <c r="CC10" s="35">
        <f t="shared" si="28"/>
        <v>0</v>
      </c>
      <c r="CD10" s="9">
        <f t="shared" si="29"/>
        <v>0</v>
      </c>
      <c r="CE10">
        <f t="shared" si="30"/>
        <v>0</v>
      </c>
      <c r="CF10" s="17">
        <f t="shared" si="31"/>
        <v>1</v>
      </c>
      <c r="CG10" s="17">
        <f t="shared" si="32"/>
        <v>0</v>
      </c>
      <c r="CH10" s="17">
        <f t="shared" si="33"/>
        <v>0</v>
      </c>
      <c r="CI10">
        <f t="shared" si="34"/>
        <v>0</v>
      </c>
      <c r="CJ10">
        <f t="shared" si="35"/>
        <v>0</v>
      </c>
      <c r="CK10" s="17">
        <f t="shared" si="36"/>
        <v>1</v>
      </c>
      <c r="CL10" s="17">
        <f t="shared" si="37"/>
        <v>0</v>
      </c>
      <c r="CM10" s="17">
        <f t="shared" si="38"/>
        <v>0</v>
      </c>
      <c r="CN10">
        <f t="shared" si="39"/>
        <v>0</v>
      </c>
      <c r="CO10">
        <f t="shared" si="40"/>
        <v>0</v>
      </c>
      <c r="CP10" s="17">
        <f t="shared" si="41"/>
        <v>1</v>
      </c>
      <c r="CQ10" s="17">
        <f t="shared" si="42"/>
        <v>0</v>
      </c>
      <c r="CR10" s="17">
        <f t="shared" si="43"/>
        <v>0</v>
      </c>
      <c r="CS10">
        <f t="shared" si="44"/>
        <v>0</v>
      </c>
      <c r="CT10">
        <f t="shared" si="45"/>
        <v>0</v>
      </c>
      <c r="CU10" s="17">
        <f t="shared" si="46"/>
        <v>1</v>
      </c>
      <c r="CV10" s="17">
        <f t="shared" si="47"/>
        <v>0</v>
      </c>
      <c r="CW10" s="17">
        <f t="shared" si="48"/>
        <v>0</v>
      </c>
      <c r="CX10">
        <f t="shared" si="49"/>
        <v>0</v>
      </c>
    </row>
    <row r="11" spans="1:102" x14ac:dyDescent="0.25">
      <c r="A11" t="s">
        <v>24</v>
      </c>
      <c r="C11" s="17">
        <f>'Рабочая операция'!C21</f>
        <v>0</v>
      </c>
      <c r="D11" s="17">
        <f>'Рабочая операция'!D21</f>
        <v>0</v>
      </c>
      <c r="H11" s="17">
        <f>'Рабочая операция'!E21</f>
        <v>0</v>
      </c>
      <c r="I11" s="17">
        <f>'Рабочая операция'!F21</f>
        <v>0</v>
      </c>
      <c r="M11" s="17">
        <f>'Рабочая операция'!G21</f>
        <v>0</v>
      </c>
      <c r="N11" s="17">
        <f>'Рабочая операция'!H21</f>
        <v>0</v>
      </c>
      <c r="R11" s="21">
        <f>'Рабочая операция'!I21</f>
        <v>0</v>
      </c>
      <c r="S11" s="21">
        <f>'Рабочая операция'!J21</f>
        <v>0</v>
      </c>
      <c r="W11" s="21">
        <f>'Рабочая операция'!K21</f>
        <v>0</v>
      </c>
      <c r="X11" s="21">
        <f>'Рабочая операция'!L21</f>
        <v>0</v>
      </c>
      <c r="AB11" s="21">
        <f>'Рабочая операция'!M21</f>
        <v>0</v>
      </c>
      <c r="AC11" s="21">
        <f>'Рабочая операция'!N21</f>
        <v>0</v>
      </c>
      <c r="AG11" s="17">
        <f>'Рабочая операция'!O21</f>
        <v>0</v>
      </c>
      <c r="AH11" s="17">
        <f>'Рабочая операция'!P21</f>
        <v>0</v>
      </c>
      <c r="AL11" s="17">
        <f>'Рабочая операция'!Q21</f>
        <v>0</v>
      </c>
      <c r="AM11" s="17">
        <f>'Рабочая операция'!R21</f>
        <v>0</v>
      </c>
      <c r="AQ11" s="17">
        <f>'Рабочая операция'!S21</f>
        <v>0</v>
      </c>
      <c r="AR11" s="17">
        <f>'Рабочая операция'!T21</f>
        <v>0</v>
      </c>
      <c r="AV11" s="17">
        <f>'Рабочая операция'!U21</f>
        <v>0</v>
      </c>
      <c r="AW11" s="17">
        <f>'Рабочая операция'!V21</f>
        <v>0</v>
      </c>
      <c r="BA11" s="7">
        <f t="shared" si="0"/>
        <v>0</v>
      </c>
      <c r="BB11" s="35">
        <f t="shared" si="1"/>
        <v>1</v>
      </c>
      <c r="BC11" s="35">
        <f t="shared" si="2"/>
        <v>0</v>
      </c>
      <c r="BD11" s="35">
        <f t="shared" si="3"/>
        <v>0</v>
      </c>
      <c r="BE11" s="9">
        <f t="shared" si="4"/>
        <v>0</v>
      </c>
      <c r="BF11" s="7">
        <f t="shared" si="5"/>
        <v>0</v>
      </c>
      <c r="BG11" s="35">
        <f t="shared" si="6"/>
        <v>1</v>
      </c>
      <c r="BH11" s="35">
        <f t="shared" si="7"/>
        <v>0</v>
      </c>
      <c r="BI11" s="35">
        <f t="shared" si="8"/>
        <v>0</v>
      </c>
      <c r="BJ11" s="9">
        <f t="shared" si="9"/>
        <v>0</v>
      </c>
      <c r="BK11" s="7">
        <f t="shared" si="10"/>
        <v>0</v>
      </c>
      <c r="BL11" s="35">
        <f t="shared" si="11"/>
        <v>1</v>
      </c>
      <c r="BM11" s="35">
        <f t="shared" si="12"/>
        <v>0</v>
      </c>
      <c r="BN11" s="35">
        <f t="shared" si="13"/>
        <v>0</v>
      </c>
      <c r="BO11" s="9">
        <f t="shared" si="14"/>
        <v>0</v>
      </c>
      <c r="BP11" s="7">
        <f t="shared" si="15"/>
        <v>0</v>
      </c>
      <c r="BQ11" s="35">
        <f t="shared" si="16"/>
        <v>1</v>
      </c>
      <c r="BR11" s="35">
        <f t="shared" si="17"/>
        <v>0</v>
      </c>
      <c r="BS11" s="35">
        <f t="shared" si="18"/>
        <v>0</v>
      </c>
      <c r="BT11" s="9">
        <f t="shared" si="19"/>
        <v>0</v>
      </c>
      <c r="BU11" s="7">
        <f t="shared" si="20"/>
        <v>0</v>
      </c>
      <c r="BV11" s="35">
        <f t="shared" si="21"/>
        <v>1</v>
      </c>
      <c r="BW11" s="35">
        <f t="shared" si="22"/>
        <v>0</v>
      </c>
      <c r="BX11" s="35">
        <f t="shared" si="23"/>
        <v>0</v>
      </c>
      <c r="BY11" s="9">
        <f t="shared" si="24"/>
        <v>0</v>
      </c>
      <c r="BZ11" s="7">
        <f t="shared" si="25"/>
        <v>0</v>
      </c>
      <c r="CA11" s="35">
        <f t="shared" si="26"/>
        <v>1</v>
      </c>
      <c r="CB11" s="35">
        <f t="shared" si="27"/>
        <v>0</v>
      </c>
      <c r="CC11" s="35">
        <f t="shared" si="28"/>
        <v>0</v>
      </c>
      <c r="CD11" s="9">
        <f t="shared" si="29"/>
        <v>0</v>
      </c>
      <c r="CE11">
        <f t="shared" si="30"/>
        <v>0</v>
      </c>
      <c r="CF11" s="17">
        <f t="shared" si="31"/>
        <v>1</v>
      </c>
      <c r="CG11" s="17">
        <f t="shared" si="32"/>
        <v>0</v>
      </c>
      <c r="CH11" s="17">
        <f t="shared" si="33"/>
        <v>0</v>
      </c>
      <c r="CI11">
        <f t="shared" si="34"/>
        <v>0</v>
      </c>
      <c r="CJ11">
        <f t="shared" si="35"/>
        <v>0</v>
      </c>
      <c r="CK11" s="17">
        <f t="shared" si="36"/>
        <v>1</v>
      </c>
      <c r="CL11" s="17">
        <f t="shared" si="37"/>
        <v>0</v>
      </c>
      <c r="CM11" s="17">
        <f t="shared" si="38"/>
        <v>0</v>
      </c>
      <c r="CN11">
        <f t="shared" si="39"/>
        <v>0</v>
      </c>
      <c r="CO11">
        <f t="shared" si="40"/>
        <v>0</v>
      </c>
      <c r="CP11" s="17">
        <f t="shared" si="41"/>
        <v>1</v>
      </c>
      <c r="CQ11" s="17">
        <f t="shared" si="42"/>
        <v>0</v>
      </c>
      <c r="CR11" s="17">
        <f t="shared" si="43"/>
        <v>0</v>
      </c>
      <c r="CS11">
        <f t="shared" si="44"/>
        <v>0</v>
      </c>
      <c r="CT11">
        <f t="shared" si="45"/>
        <v>0</v>
      </c>
      <c r="CU11" s="17">
        <f t="shared" si="46"/>
        <v>1</v>
      </c>
      <c r="CV11" s="17">
        <f t="shared" si="47"/>
        <v>0</v>
      </c>
      <c r="CW11" s="17">
        <f t="shared" si="48"/>
        <v>0</v>
      </c>
      <c r="CX11">
        <f t="shared" si="49"/>
        <v>0</v>
      </c>
    </row>
    <row r="12" spans="1:102" x14ac:dyDescent="0.25">
      <c r="A12" t="s">
        <v>25</v>
      </c>
      <c r="C12" s="17">
        <f>'Рабочая операция'!C22</f>
        <v>0</v>
      </c>
      <c r="D12" s="17">
        <f>'Рабочая операция'!D22</f>
        <v>0</v>
      </c>
      <c r="H12" s="17">
        <f>'Рабочая операция'!E22</f>
        <v>0</v>
      </c>
      <c r="I12" s="17">
        <f>'Рабочая операция'!F22</f>
        <v>0</v>
      </c>
      <c r="M12" s="17">
        <f>'Рабочая операция'!G22</f>
        <v>0</v>
      </c>
      <c r="N12" s="17">
        <f>'Рабочая операция'!H22</f>
        <v>0</v>
      </c>
      <c r="R12" s="21">
        <f>'Рабочая операция'!I22</f>
        <v>0</v>
      </c>
      <c r="S12" s="21">
        <f>'Рабочая операция'!J22</f>
        <v>0</v>
      </c>
      <c r="W12" s="21">
        <f>'Рабочая операция'!K22</f>
        <v>0</v>
      </c>
      <c r="X12" s="21">
        <f>'Рабочая операция'!L22</f>
        <v>0</v>
      </c>
      <c r="AB12" s="21">
        <f>'Рабочая операция'!M22</f>
        <v>0</v>
      </c>
      <c r="AC12" s="21">
        <f>'Рабочая операция'!N22</f>
        <v>0</v>
      </c>
      <c r="AG12" s="17">
        <f>'Рабочая операция'!O22</f>
        <v>0</v>
      </c>
      <c r="AH12" s="17">
        <f>'Рабочая операция'!P22</f>
        <v>0</v>
      </c>
      <c r="AL12" s="17">
        <f>'Рабочая операция'!Q22</f>
        <v>0</v>
      </c>
      <c r="AM12" s="17">
        <f>'Рабочая операция'!R22</f>
        <v>0</v>
      </c>
      <c r="AQ12" s="17">
        <f>'Рабочая операция'!S22</f>
        <v>0</v>
      </c>
      <c r="AR12" s="17">
        <f>'Рабочая операция'!T22</f>
        <v>0</v>
      </c>
      <c r="AV12" s="17">
        <f>'Рабочая операция'!U22</f>
        <v>0</v>
      </c>
      <c r="AW12" s="17">
        <f>'Рабочая операция'!V22</f>
        <v>0</v>
      </c>
      <c r="BA12" s="7">
        <f t="shared" si="0"/>
        <v>0</v>
      </c>
      <c r="BB12" s="35">
        <f t="shared" si="1"/>
        <v>1</v>
      </c>
      <c r="BC12" s="35">
        <f t="shared" si="2"/>
        <v>0</v>
      </c>
      <c r="BD12" s="35">
        <f t="shared" si="3"/>
        <v>0</v>
      </c>
      <c r="BE12" s="9">
        <f t="shared" si="4"/>
        <v>0</v>
      </c>
      <c r="BF12" s="7">
        <f t="shared" si="5"/>
        <v>0</v>
      </c>
      <c r="BG12" s="35">
        <f t="shared" si="6"/>
        <v>1</v>
      </c>
      <c r="BH12" s="35">
        <f t="shared" si="7"/>
        <v>0</v>
      </c>
      <c r="BI12" s="35">
        <f t="shared" si="8"/>
        <v>0</v>
      </c>
      <c r="BJ12" s="9">
        <f t="shared" si="9"/>
        <v>0</v>
      </c>
      <c r="BK12" s="7">
        <f t="shared" si="10"/>
        <v>0</v>
      </c>
      <c r="BL12" s="35">
        <f t="shared" si="11"/>
        <v>1</v>
      </c>
      <c r="BM12" s="35">
        <f t="shared" si="12"/>
        <v>0</v>
      </c>
      <c r="BN12" s="35">
        <f t="shared" si="13"/>
        <v>0</v>
      </c>
      <c r="BO12" s="9">
        <f t="shared" si="14"/>
        <v>0</v>
      </c>
      <c r="BP12" s="7">
        <f t="shared" si="15"/>
        <v>0</v>
      </c>
      <c r="BQ12" s="35">
        <f t="shared" si="16"/>
        <v>1</v>
      </c>
      <c r="BR12" s="35">
        <f t="shared" si="17"/>
        <v>0</v>
      </c>
      <c r="BS12" s="35">
        <f t="shared" si="18"/>
        <v>0</v>
      </c>
      <c r="BT12" s="9">
        <f t="shared" si="19"/>
        <v>0</v>
      </c>
      <c r="BU12" s="7">
        <f t="shared" si="20"/>
        <v>0</v>
      </c>
      <c r="BV12" s="35">
        <f t="shared" si="21"/>
        <v>1</v>
      </c>
      <c r="BW12" s="35">
        <f t="shared" si="22"/>
        <v>0</v>
      </c>
      <c r="BX12" s="35">
        <f t="shared" si="23"/>
        <v>0</v>
      </c>
      <c r="BY12" s="9">
        <f t="shared" si="24"/>
        <v>0</v>
      </c>
      <c r="BZ12" s="7">
        <f t="shared" si="25"/>
        <v>0</v>
      </c>
      <c r="CA12" s="35">
        <f t="shared" si="26"/>
        <v>1</v>
      </c>
      <c r="CB12" s="35">
        <f t="shared" si="27"/>
        <v>0</v>
      </c>
      <c r="CC12" s="35">
        <f t="shared" si="28"/>
        <v>0</v>
      </c>
      <c r="CD12" s="9">
        <f t="shared" si="29"/>
        <v>0</v>
      </c>
      <c r="CE12">
        <f t="shared" si="30"/>
        <v>0</v>
      </c>
      <c r="CF12" s="17">
        <f t="shared" si="31"/>
        <v>1</v>
      </c>
      <c r="CG12" s="17">
        <f t="shared" si="32"/>
        <v>0</v>
      </c>
      <c r="CH12" s="17">
        <f t="shared" si="33"/>
        <v>0</v>
      </c>
      <c r="CI12">
        <f t="shared" si="34"/>
        <v>0</v>
      </c>
      <c r="CJ12">
        <f t="shared" si="35"/>
        <v>0</v>
      </c>
      <c r="CK12" s="17">
        <f t="shared" si="36"/>
        <v>1</v>
      </c>
      <c r="CL12" s="17">
        <f t="shared" si="37"/>
        <v>0</v>
      </c>
      <c r="CM12" s="17">
        <f t="shared" si="38"/>
        <v>0</v>
      </c>
      <c r="CN12">
        <f t="shared" si="39"/>
        <v>0</v>
      </c>
      <c r="CO12">
        <f t="shared" si="40"/>
        <v>0</v>
      </c>
      <c r="CP12" s="17">
        <f t="shared" si="41"/>
        <v>1</v>
      </c>
      <c r="CQ12" s="17">
        <f t="shared" si="42"/>
        <v>0</v>
      </c>
      <c r="CR12" s="17">
        <f t="shared" si="43"/>
        <v>0</v>
      </c>
      <c r="CS12">
        <f t="shared" si="44"/>
        <v>0</v>
      </c>
      <c r="CT12">
        <f t="shared" si="45"/>
        <v>0</v>
      </c>
      <c r="CU12" s="17">
        <f t="shared" si="46"/>
        <v>1</v>
      </c>
      <c r="CV12" s="17">
        <f t="shared" si="47"/>
        <v>0</v>
      </c>
      <c r="CW12" s="17">
        <f t="shared" si="48"/>
        <v>0</v>
      </c>
      <c r="CX12">
        <f t="shared" si="49"/>
        <v>0</v>
      </c>
    </row>
    <row r="13" spans="1:102" x14ac:dyDescent="0.25">
      <c r="A13" t="s">
        <v>26</v>
      </c>
      <c r="C13" s="17">
        <f>'Рабочая операция'!C23</f>
        <v>0</v>
      </c>
      <c r="D13" s="17">
        <f>'Рабочая операция'!D23</f>
        <v>0</v>
      </c>
      <c r="H13" s="17">
        <f>'Рабочая операция'!E23</f>
        <v>0</v>
      </c>
      <c r="I13" s="17">
        <f>'Рабочая операция'!F23</f>
        <v>0</v>
      </c>
      <c r="M13" s="17">
        <f>'Рабочая операция'!G23</f>
        <v>0</v>
      </c>
      <c r="N13" s="17">
        <f>'Рабочая операция'!H23</f>
        <v>0</v>
      </c>
      <c r="R13" s="21">
        <f>'Рабочая операция'!I23</f>
        <v>0</v>
      </c>
      <c r="S13" s="21">
        <f>'Рабочая операция'!J23</f>
        <v>0</v>
      </c>
      <c r="W13" s="21">
        <f>'Рабочая операция'!K23</f>
        <v>0</v>
      </c>
      <c r="X13" s="21">
        <f>'Рабочая операция'!L23</f>
        <v>0</v>
      </c>
      <c r="AB13" s="21">
        <f>'Рабочая операция'!M23</f>
        <v>0</v>
      </c>
      <c r="AC13" s="21">
        <f>'Рабочая операция'!N23</f>
        <v>0</v>
      </c>
      <c r="AG13" s="17">
        <f>'Рабочая операция'!O23</f>
        <v>0</v>
      </c>
      <c r="AH13" s="17">
        <f>'Рабочая операция'!P23</f>
        <v>0</v>
      </c>
      <c r="AL13" s="17">
        <f>'Рабочая операция'!Q23</f>
        <v>0</v>
      </c>
      <c r="AM13" s="17">
        <f>'Рабочая операция'!R23</f>
        <v>0</v>
      </c>
      <c r="AQ13" s="17">
        <f>'Рабочая операция'!S23</f>
        <v>0</v>
      </c>
      <c r="AR13" s="17">
        <f>'Рабочая операция'!T23</f>
        <v>0</v>
      </c>
      <c r="AV13" s="17">
        <f>'Рабочая операция'!U23</f>
        <v>0</v>
      </c>
      <c r="AW13" s="17">
        <f>'Рабочая операция'!V23</f>
        <v>0</v>
      </c>
      <c r="BA13" s="7">
        <f t="shared" si="0"/>
        <v>0</v>
      </c>
      <c r="BB13" s="35">
        <f t="shared" si="1"/>
        <v>1</v>
      </c>
      <c r="BC13" s="35">
        <f t="shared" si="2"/>
        <v>0</v>
      </c>
      <c r="BD13" s="35">
        <f t="shared" si="3"/>
        <v>0</v>
      </c>
      <c r="BE13" s="9">
        <f t="shared" si="4"/>
        <v>0</v>
      </c>
      <c r="BF13" s="7">
        <f t="shared" si="5"/>
        <v>0</v>
      </c>
      <c r="BG13" s="35">
        <f t="shared" si="6"/>
        <v>1</v>
      </c>
      <c r="BH13" s="35">
        <f t="shared" si="7"/>
        <v>0</v>
      </c>
      <c r="BI13" s="35">
        <f t="shared" si="8"/>
        <v>0</v>
      </c>
      <c r="BJ13" s="9">
        <f t="shared" si="9"/>
        <v>0</v>
      </c>
      <c r="BK13" s="7">
        <f t="shared" si="10"/>
        <v>0</v>
      </c>
      <c r="BL13" s="35">
        <f t="shared" si="11"/>
        <v>1</v>
      </c>
      <c r="BM13" s="35">
        <f t="shared" si="12"/>
        <v>0</v>
      </c>
      <c r="BN13" s="35">
        <f t="shared" si="13"/>
        <v>0</v>
      </c>
      <c r="BO13" s="9">
        <f t="shared" si="14"/>
        <v>0</v>
      </c>
      <c r="BP13" s="7">
        <f t="shared" si="15"/>
        <v>0</v>
      </c>
      <c r="BQ13" s="35">
        <f t="shared" si="16"/>
        <v>1</v>
      </c>
      <c r="BR13" s="35">
        <f t="shared" si="17"/>
        <v>0</v>
      </c>
      <c r="BS13" s="35">
        <f t="shared" si="18"/>
        <v>0</v>
      </c>
      <c r="BT13" s="9">
        <f t="shared" si="19"/>
        <v>0</v>
      </c>
      <c r="BU13" s="7">
        <f t="shared" si="20"/>
        <v>0</v>
      </c>
      <c r="BV13" s="35">
        <f t="shared" si="21"/>
        <v>1</v>
      </c>
      <c r="BW13" s="35">
        <f t="shared" si="22"/>
        <v>0</v>
      </c>
      <c r="BX13" s="35">
        <f t="shared" si="23"/>
        <v>0</v>
      </c>
      <c r="BY13" s="9">
        <f t="shared" si="24"/>
        <v>0</v>
      </c>
      <c r="BZ13" s="7">
        <f t="shared" si="25"/>
        <v>0</v>
      </c>
      <c r="CA13" s="35">
        <f t="shared" si="26"/>
        <v>1</v>
      </c>
      <c r="CB13" s="35">
        <f t="shared" si="27"/>
        <v>0</v>
      </c>
      <c r="CC13" s="35">
        <f t="shared" si="28"/>
        <v>0</v>
      </c>
      <c r="CD13" s="9">
        <f t="shared" si="29"/>
        <v>0</v>
      </c>
      <c r="CE13">
        <f t="shared" si="30"/>
        <v>0</v>
      </c>
      <c r="CF13" s="17">
        <f t="shared" si="31"/>
        <v>1</v>
      </c>
      <c r="CG13" s="17">
        <f t="shared" si="32"/>
        <v>0</v>
      </c>
      <c r="CH13" s="17">
        <f t="shared" si="33"/>
        <v>0</v>
      </c>
      <c r="CI13">
        <f t="shared" si="34"/>
        <v>0</v>
      </c>
      <c r="CJ13">
        <f t="shared" si="35"/>
        <v>0</v>
      </c>
      <c r="CK13" s="17">
        <f t="shared" si="36"/>
        <v>1</v>
      </c>
      <c r="CL13" s="17">
        <f t="shared" si="37"/>
        <v>0</v>
      </c>
      <c r="CM13" s="17">
        <f t="shared" si="38"/>
        <v>0</v>
      </c>
      <c r="CN13">
        <f t="shared" si="39"/>
        <v>0</v>
      </c>
      <c r="CO13">
        <f t="shared" si="40"/>
        <v>0</v>
      </c>
      <c r="CP13" s="17">
        <f t="shared" si="41"/>
        <v>1</v>
      </c>
      <c r="CQ13" s="17">
        <f t="shared" si="42"/>
        <v>0</v>
      </c>
      <c r="CR13" s="17">
        <f t="shared" si="43"/>
        <v>0</v>
      </c>
      <c r="CS13">
        <f t="shared" si="44"/>
        <v>0</v>
      </c>
      <c r="CT13">
        <f t="shared" si="45"/>
        <v>0</v>
      </c>
      <c r="CU13" s="17">
        <f t="shared" si="46"/>
        <v>1</v>
      </c>
      <c r="CV13" s="17">
        <f t="shared" si="47"/>
        <v>0</v>
      </c>
      <c r="CW13" s="17">
        <f t="shared" si="48"/>
        <v>0</v>
      </c>
      <c r="CX13">
        <f t="shared" si="49"/>
        <v>0</v>
      </c>
    </row>
    <row r="14" spans="1:102" x14ac:dyDescent="0.25">
      <c r="A14" t="s">
        <v>27</v>
      </c>
      <c r="C14" s="17">
        <f>'Рабочая операция'!C24</f>
        <v>0</v>
      </c>
      <c r="D14" s="17">
        <f>'Рабочая операция'!D24</f>
        <v>0</v>
      </c>
      <c r="H14" s="17">
        <f>'Рабочая операция'!E24</f>
        <v>0</v>
      </c>
      <c r="I14" s="17">
        <f>'Рабочая операция'!F24</f>
        <v>0</v>
      </c>
      <c r="M14" s="17">
        <f>'Рабочая операция'!G24</f>
        <v>0</v>
      </c>
      <c r="N14" s="17">
        <f>'Рабочая операция'!H24</f>
        <v>0</v>
      </c>
      <c r="R14" s="21">
        <f>'Рабочая операция'!I24</f>
        <v>0</v>
      </c>
      <c r="S14" s="21">
        <f>'Рабочая операция'!J24</f>
        <v>0</v>
      </c>
      <c r="W14" s="21">
        <f>'Рабочая операция'!K24</f>
        <v>0</v>
      </c>
      <c r="X14" s="21">
        <f>'Рабочая операция'!L24</f>
        <v>0</v>
      </c>
      <c r="AB14" s="21">
        <f>'Рабочая операция'!M24</f>
        <v>0</v>
      </c>
      <c r="AC14" s="21">
        <f>'Рабочая операция'!N24</f>
        <v>0</v>
      </c>
      <c r="AG14" s="17">
        <f>'Рабочая операция'!O24</f>
        <v>0</v>
      </c>
      <c r="AH14" s="17">
        <f>'Рабочая операция'!P24</f>
        <v>0</v>
      </c>
      <c r="AL14" s="17">
        <f>'Рабочая операция'!Q24</f>
        <v>0</v>
      </c>
      <c r="AM14" s="17">
        <f>'Рабочая операция'!R24</f>
        <v>0</v>
      </c>
      <c r="AQ14" s="17">
        <f>'Рабочая операция'!S24</f>
        <v>0</v>
      </c>
      <c r="AR14" s="17">
        <f>'Рабочая операция'!T24</f>
        <v>0</v>
      </c>
      <c r="AV14" s="17">
        <f>'Рабочая операция'!U24</f>
        <v>0</v>
      </c>
      <c r="AW14" s="17">
        <f>'Рабочая операция'!V24</f>
        <v>0</v>
      </c>
      <c r="BA14" s="7">
        <f t="shared" si="0"/>
        <v>0</v>
      </c>
      <c r="BB14" s="35">
        <f t="shared" si="1"/>
        <v>1</v>
      </c>
      <c r="BC14" s="35">
        <f t="shared" si="2"/>
        <v>0</v>
      </c>
      <c r="BD14" s="35">
        <f t="shared" si="3"/>
        <v>0</v>
      </c>
      <c r="BE14" s="9">
        <f t="shared" si="4"/>
        <v>0</v>
      </c>
      <c r="BF14" s="7">
        <f t="shared" si="5"/>
        <v>0</v>
      </c>
      <c r="BG14" s="35">
        <f t="shared" si="6"/>
        <v>1</v>
      </c>
      <c r="BH14" s="35">
        <f t="shared" si="7"/>
        <v>0</v>
      </c>
      <c r="BI14" s="35">
        <f t="shared" si="8"/>
        <v>0</v>
      </c>
      <c r="BJ14" s="9">
        <f t="shared" si="9"/>
        <v>0</v>
      </c>
      <c r="BK14" s="7">
        <f t="shared" si="10"/>
        <v>0</v>
      </c>
      <c r="BL14" s="35">
        <f t="shared" si="11"/>
        <v>1</v>
      </c>
      <c r="BM14" s="35">
        <f t="shared" si="12"/>
        <v>0</v>
      </c>
      <c r="BN14" s="35">
        <f t="shared" si="13"/>
        <v>0</v>
      </c>
      <c r="BO14" s="9">
        <f t="shared" si="14"/>
        <v>0</v>
      </c>
      <c r="BP14" s="7">
        <f t="shared" si="15"/>
        <v>0</v>
      </c>
      <c r="BQ14" s="35">
        <f t="shared" si="16"/>
        <v>1</v>
      </c>
      <c r="BR14" s="35">
        <f t="shared" si="17"/>
        <v>0</v>
      </c>
      <c r="BS14" s="35">
        <f t="shared" si="18"/>
        <v>0</v>
      </c>
      <c r="BT14" s="9">
        <f t="shared" si="19"/>
        <v>0</v>
      </c>
      <c r="BU14" s="7">
        <f t="shared" si="20"/>
        <v>0</v>
      </c>
      <c r="BV14" s="35">
        <f t="shared" si="21"/>
        <v>1</v>
      </c>
      <c r="BW14" s="35">
        <f t="shared" si="22"/>
        <v>0</v>
      </c>
      <c r="BX14" s="35">
        <f t="shared" si="23"/>
        <v>0</v>
      </c>
      <c r="BY14" s="9">
        <f t="shared" si="24"/>
        <v>0</v>
      </c>
      <c r="BZ14" s="7">
        <f t="shared" si="25"/>
        <v>0</v>
      </c>
      <c r="CA14" s="35">
        <f t="shared" si="26"/>
        <v>1</v>
      </c>
      <c r="CB14" s="35">
        <f t="shared" si="27"/>
        <v>0</v>
      </c>
      <c r="CC14" s="35">
        <f t="shared" si="28"/>
        <v>0</v>
      </c>
      <c r="CD14" s="9">
        <f t="shared" si="29"/>
        <v>0</v>
      </c>
      <c r="CE14">
        <f t="shared" si="30"/>
        <v>0</v>
      </c>
      <c r="CF14" s="17">
        <f t="shared" si="31"/>
        <v>1</v>
      </c>
      <c r="CG14" s="17">
        <f t="shared" si="32"/>
        <v>0</v>
      </c>
      <c r="CH14" s="17">
        <f t="shared" si="33"/>
        <v>0</v>
      </c>
      <c r="CI14">
        <f t="shared" si="34"/>
        <v>0</v>
      </c>
      <c r="CJ14">
        <f t="shared" si="35"/>
        <v>0</v>
      </c>
      <c r="CK14" s="17">
        <f t="shared" si="36"/>
        <v>1</v>
      </c>
      <c r="CL14" s="17">
        <f t="shared" si="37"/>
        <v>0</v>
      </c>
      <c r="CM14" s="17">
        <f t="shared" si="38"/>
        <v>0</v>
      </c>
      <c r="CN14">
        <f t="shared" si="39"/>
        <v>0</v>
      </c>
      <c r="CO14">
        <f t="shared" si="40"/>
        <v>0</v>
      </c>
      <c r="CP14" s="17">
        <f t="shared" si="41"/>
        <v>1</v>
      </c>
      <c r="CQ14" s="17">
        <f t="shared" si="42"/>
        <v>0</v>
      </c>
      <c r="CR14" s="17">
        <f t="shared" si="43"/>
        <v>0</v>
      </c>
      <c r="CS14">
        <f t="shared" si="44"/>
        <v>0</v>
      </c>
      <c r="CT14">
        <f t="shared" si="45"/>
        <v>0</v>
      </c>
      <c r="CU14" s="17">
        <f t="shared" si="46"/>
        <v>1</v>
      </c>
      <c r="CV14" s="17">
        <f t="shared" si="47"/>
        <v>0</v>
      </c>
      <c r="CW14" s="17">
        <f t="shared" si="48"/>
        <v>0</v>
      </c>
      <c r="CX14">
        <f t="shared" si="49"/>
        <v>0</v>
      </c>
    </row>
    <row r="15" spans="1:102" x14ac:dyDescent="0.25">
      <c r="A15" t="s">
        <v>28</v>
      </c>
      <c r="C15" s="17">
        <f>'Рабочая операция'!C25</f>
        <v>0</v>
      </c>
      <c r="D15" s="17">
        <f>'Рабочая операция'!D25</f>
        <v>0</v>
      </c>
      <c r="H15" s="17">
        <f>'Рабочая операция'!E25</f>
        <v>0</v>
      </c>
      <c r="I15" s="17">
        <f>'Рабочая операция'!F25</f>
        <v>0</v>
      </c>
      <c r="M15" s="17">
        <f>'Рабочая операция'!G25</f>
        <v>0</v>
      </c>
      <c r="N15" s="17">
        <f>'Рабочая операция'!H25</f>
        <v>0</v>
      </c>
      <c r="R15" s="21">
        <f>'Рабочая операция'!I25</f>
        <v>0</v>
      </c>
      <c r="S15" s="21">
        <f>'Рабочая операция'!J25</f>
        <v>0</v>
      </c>
      <c r="W15" s="21">
        <f>'Рабочая операция'!K25</f>
        <v>0</v>
      </c>
      <c r="X15" s="21">
        <f>'Рабочая операция'!L25</f>
        <v>0</v>
      </c>
      <c r="AB15" s="21">
        <f>'Рабочая операция'!M25</f>
        <v>0</v>
      </c>
      <c r="AC15" s="21">
        <f>'Рабочая операция'!N25</f>
        <v>0</v>
      </c>
      <c r="AG15" s="17">
        <f>'Рабочая операция'!O25</f>
        <v>0</v>
      </c>
      <c r="AH15" s="17">
        <f>'Рабочая операция'!P25</f>
        <v>0</v>
      </c>
      <c r="AL15" s="17">
        <f>'Рабочая операция'!Q25</f>
        <v>0</v>
      </c>
      <c r="AM15" s="17">
        <f>'Рабочая операция'!R25</f>
        <v>0</v>
      </c>
      <c r="AQ15" s="17">
        <f>'Рабочая операция'!S25</f>
        <v>0</v>
      </c>
      <c r="AR15" s="17">
        <f>'Рабочая операция'!T25</f>
        <v>0</v>
      </c>
      <c r="AV15" s="17">
        <f>'Рабочая операция'!U25</f>
        <v>0</v>
      </c>
      <c r="AW15" s="17">
        <f>'Рабочая операция'!V25</f>
        <v>0</v>
      </c>
      <c r="BA15" s="7">
        <f t="shared" si="0"/>
        <v>0</v>
      </c>
      <c r="BB15" s="35">
        <f t="shared" si="1"/>
        <v>1</v>
      </c>
      <c r="BC15" s="35">
        <f t="shared" si="2"/>
        <v>0</v>
      </c>
      <c r="BD15" s="35">
        <f t="shared" si="3"/>
        <v>0</v>
      </c>
      <c r="BE15" s="9">
        <f t="shared" si="4"/>
        <v>0</v>
      </c>
      <c r="BF15" s="7">
        <f t="shared" si="5"/>
        <v>0</v>
      </c>
      <c r="BG15" s="35">
        <f t="shared" si="6"/>
        <v>1</v>
      </c>
      <c r="BH15" s="35">
        <f t="shared" si="7"/>
        <v>0</v>
      </c>
      <c r="BI15" s="35">
        <f t="shared" si="8"/>
        <v>0</v>
      </c>
      <c r="BJ15" s="9">
        <f t="shared" si="9"/>
        <v>0</v>
      </c>
      <c r="BK15" s="7">
        <f t="shared" si="10"/>
        <v>0</v>
      </c>
      <c r="BL15" s="35">
        <f t="shared" si="11"/>
        <v>1</v>
      </c>
      <c r="BM15" s="35">
        <f t="shared" si="12"/>
        <v>0</v>
      </c>
      <c r="BN15" s="35">
        <f t="shared" si="13"/>
        <v>0</v>
      </c>
      <c r="BO15" s="9">
        <f t="shared" si="14"/>
        <v>0</v>
      </c>
      <c r="BP15" s="7">
        <f t="shared" si="15"/>
        <v>0</v>
      </c>
      <c r="BQ15" s="35">
        <f t="shared" si="16"/>
        <v>1</v>
      </c>
      <c r="BR15" s="35">
        <f t="shared" si="17"/>
        <v>0</v>
      </c>
      <c r="BS15" s="35">
        <f t="shared" si="18"/>
        <v>0</v>
      </c>
      <c r="BT15" s="9">
        <f t="shared" si="19"/>
        <v>0</v>
      </c>
      <c r="BU15" s="7">
        <f t="shared" si="20"/>
        <v>0</v>
      </c>
      <c r="BV15" s="35">
        <f t="shared" si="21"/>
        <v>1</v>
      </c>
      <c r="BW15" s="35">
        <f t="shared" si="22"/>
        <v>0</v>
      </c>
      <c r="BX15" s="35">
        <f t="shared" si="23"/>
        <v>0</v>
      </c>
      <c r="BY15" s="9">
        <f t="shared" si="24"/>
        <v>0</v>
      </c>
      <c r="BZ15" s="7">
        <f t="shared" si="25"/>
        <v>0</v>
      </c>
      <c r="CA15" s="35">
        <f t="shared" si="26"/>
        <v>1</v>
      </c>
      <c r="CB15" s="35">
        <f t="shared" si="27"/>
        <v>0</v>
      </c>
      <c r="CC15" s="35">
        <f t="shared" si="28"/>
        <v>0</v>
      </c>
      <c r="CD15" s="9">
        <f t="shared" si="29"/>
        <v>0</v>
      </c>
      <c r="CE15">
        <f t="shared" si="30"/>
        <v>0</v>
      </c>
      <c r="CF15" s="17">
        <f t="shared" si="31"/>
        <v>1</v>
      </c>
      <c r="CG15" s="17">
        <f t="shared" si="32"/>
        <v>0</v>
      </c>
      <c r="CH15" s="17">
        <f t="shared" si="33"/>
        <v>0</v>
      </c>
      <c r="CI15">
        <f t="shared" si="34"/>
        <v>0</v>
      </c>
      <c r="CJ15">
        <f t="shared" si="35"/>
        <v>0</v>
      </c>
      <c r="CK15" s="17">
        <f t="shared" si="36"/>
        <v>1</v>
      </c>
      <c r="CL15" s="17">
        <f t="shared" si="37"/>
        <v>0</v>
      </c>
      <c r="CM15" s="17">
        <f t="shared" si="38"/>
        <v>0</v>
      </c>
      <c r="CN15">
        <f t="shared" si="39"/>
        <v>0</v>
      </c>
      <c r="CO15">
        <f t="shared" si="40"/>
        <v>0</v>
      </c>
      <c r="CP15" s="17">
        <f t="shared" si="41"/>
        <v>1</v>
      </c>
      <c r="CQ15" s="17">
        <f t="shared" si="42"/>
        <v>0</v>
      </c>
      <c r="CR15" s="17">
        <f t="shared" si="43"/>
        <v>0</v>
      </c>
      <c r="CS15">
        <f t="shared" si="44"/>
        <v>0</v>
      </c>
      <c r="CT15">
        <f t="shared" si="45"/>
        <v>0</v>
      </c>
      <c r="CU15" s="17">
        <f t="shared" si="46"/>
        <v>1</v>
      </c>
      <c r="CV15" s="17">
        <f t="shared" si="47"/>
        <v>0</v>
      </c>
      <c r="CW15" s="17">
        <f t="shared" si="48"/>
        <v>0</v>
      </c>
      <c r="CX15">
        <f t="shared" si="49"/>
        <v>0</v>
      </c>
    </row>
    <row r="16" spans="1:102" s="2" customFormat="1" ht="13.8" thickBot="1" x14ac:dyDescent="0.3">
      <c r="A16" s="25" t="s">
        <v>7</v>
      </c>
      <c r="B16" s="25">
        <f>BA16</f>
        <v>3</v>
      </c>
      <c r="C16" s="19"/>
      <c r="D16" s="19"/>
      <c r="E16" s="30"/>
      <c r="F16" s="30"/>
      <c r="G16" s="30"/>
      <c r="H16" s="23"/>
      <c r="I16" s="23"/>
      <c r="J16" s="30"/>
      <c r="K16" s="30"/>
      <c r="L16" s="30"/>
      <c r="M16" s="19"/>
      <c r="N16" s="19"/>
      <c r="O16" s="30"/>
      <c r="P16" s="30"/>
      <c r="Q16" s="30"/>
      <c r="R16" s="19"/>
      <c r="S16" s="19"/>
      <c r="T16" s="30"/>
      <c r="U16" s="30"/>
      <c r="V16" s="30"/>
      <c r="W16" s="19"/>
      <c r="X16" s="19"/>
      <c r="Y16" s="30"/>
      <c r="Z16" s="30"/>
      <c r="AA16" s="30"/>
      <c r="AB16" s="19"/>
      <c r="AC16" s="19"/>
      <c r="AD16" s="30"/>
      <c r="AE16" s="30"/>
      <c r="AF16" s="30"/>
      <c r="AG16" s="19"/>
      <c r="AH16" s="19"/>
      <c r="AI16" s="30"/>
      <c r="AJ16" s="30"/>
      <c r="AK16" s="30"/>
      <c r="AL16" s="19"/>
      <c r="AM16" s="19"/>
      <c r="AN16" s="30"/>
      <c r="AO16" s="30"/>
      <c r="AP16" s="30"/>
      <c r="AQ16" s="19"/>
      <c r="AR16" s="19"/>
      <c r="AS16" s="30"/>
      <c r="AT16" s="30"/>
      <c r="AU16" s="30"/>
      <c r="AV16" s="19"/>
      <c r="AW16" s="19"/>
      <c r="AX16" s="30"/>
      <c r="AY16" s="30"/>
      <c r="AZ16" s="30"/>
      <c r="BA16" s="10">
        <f>SUM(BA6:BA15)</f>
        <v>3</v>
      </c>
      <c r="BB16" s="11">
        <f>SUM(BB6:BB15)</f>
        <v>3843825.6042552851</v>
      </c>
      <c r="BC16" s="11">
        <f t="shared" ref="BC16:BD16" si="50">SUM(BC6:BC15)</f>
        <v>2</v>
      </c>
      <c r="BD16" s="11">
        <f t="shared" si="50"/>
        <v>0</v>
      </c>
      <c r="BE16" s="12">
        <f>SUM(BE6:BE15)</f>
        <v>2</v>
      </c>
      <c r="BF16" s="10">
        <f>SUM(BF6:BF15)</f>
        <v>3</v>
      </c>
      <c r="BG16" s="11">
        <f>SUM(BG6:BG15)</f>
        <v>41697870.849222347</v>
      </c>
      <c r="BH16" s="11">
        <f t="shared" ref="BH16" si="51">SUM(BH6:BH15)</f>
        <v>2.666666666666667</v>
      </c>
      <c r="BI16" s="11">
        <f t="shared" ref="BI16" si="52">SUM(BI6:BI15)</f>
        <v>0</v>
      </c>
      <c r="BJ16" s="12">
        <f>SUM(BJ6:BJ15)</f>
        <v>2</v>
      </c>
      <c r="BK16" s="10">
        <f>SUM(BK6:BK15)</f>
        <v>3</v>
      </c>
      <c r="BL16" s="11">
        <f>SUM(BL6:BL15)</f>
        <v>12155228.7019761</v>
      </c>
      <c r="BM16" s="11">
        <f t="shared" ref="BM16" si="53">SUM(BM6:BM15)</f>
        <v>2</v>
      </c>
      <c r="BN16" s="11">
        <f t="shared" ref="BN16" si="54">SUM(BN6:BN15)</f>
        <v>0</v>
      </c>
      <c r="BO16" s="12">
        <f>SUM(BO6:BO15)</f>
        <v>2</v>
      </c>
      <c r="BP16" s="10">
        <f>SUM(BP6:BP15)</f>
        <v>3</v>
      </c>
      <c r="BQ16" s="11">
        <f>SUM(BQ6:BQ15)</f>
        <v>20898444.030758388</v>
      </c>
      <c r="BR16" s="11">
        <f t="shared" ref="BR16" si="55">SUM(BR6:BR15)</f>
        <v>2.666666666666667</v>
      </c>
      <c r="BS16" s="11">
        <f t="shared" ref="BS16" si="56">SUM(BS6:BS15)</f>
        <v>0</v>
      </c>
      <c r="BT16" s="12">
        <f>SUM(BT6:BT15)</f>
        <v>2</v>
      </c>
      <c r="BU16" s="10">
        <f>SUM(BU6:BU15)</f>
        <v>0</v>
      </c>
      <c r="BV16" s="11">
        <f>SUM(BV6:BV15)</f>
        <v>10</v>
      </c>
      <c r="BW16" s="11">
        <f t="shared" ref="BW16" si="57">SUM(BW6:BW15)</f>
        <v>0</v>
      </c>
      <c r="BX16" s="11">
        <f t="shared" ref="BX16" si="58">SUM(BX6:BX15)</f>
        <v>0</v>
      </c>
      <c r="BY16" s="12">
        <f>SUM(BY6:BY15)</f>
        <v>0</v>
      </c>
      <c r="BZ16" s="10">
        <f>SUM(BZ6:BZ15)</f>
        <v>0</v>
      </c>
      <c r="CA16" s="11">
        <f>SUM(CA6:CA15)</f>
        <v>10</v>
      </c>
      <c r="CB16" s="11">
        <f t="shared" ref="CB16" si="59">SUM(CB6:CB15)</f>
        <v>0</v>
      </c>
      <c r="CC16" s="11">
        <f t="shared" ref="CC16" si="60">SUM(CC6:CC15)</f>
        <v>0</v>
      </c>
      <c r="CD16" s="12">
        <f>SUM(CD6:CD15)</f>
        <v>0</v>
      </c>
      <c r="CE16">
        <f>SUM(CE6:CE15)</f>
        <v>0</v>
      </c>
      <c r="CF16" s="2">
        <f>SUM(CF6:CF15)</f>
        <v>10</v>
      </c>
      <c r="CG16" s="2">
        <f t="shared" ref="CG16" si="61">SUM(CG6:CG15)</f>
        <v>0</v>
      </c>
      <c r="CH16" s="2">
        <f t="shared" ref="CH16" si="62">SUM(CH6:CH15)</f>
        <v>0</v>
      </c>
      <c r="CI16" s="2">
        <f>SUM(CI6:CI15)</f>
        <v>0</v>
      </c>
      <c r="CJ16">
        <f>SUM(CJ6:CJ15)</f>
        <v>0</v>
      </c>
      <c r="CK16" s="2">
        <f>SUM(CK6:CK15)</f>
        <v>10</v>
      </c>
      <c r="CL16" s="2">
        <f t="shared" ref="CL16" si="63">SUM(CL6:CL15)</f>
        <v>0</v>
      </c>
      <c r="CM16" s="2">
        <f t="shared" ref="CM16" si="64">SUM(CM6:CM15)</f>
        <v>0</v>
      </c>
      <c r="CN16" s="2">
        <f>SUM(CN6:CN15)</f>
        <v>0</v>
      </c>
      <c r="CO16">
        <f>SUM(CO6:CO15)</f>
        <v>0</v>
      </c>
      <c r="CP16" s="2">
        <f>SUM(CP6:CP15)</f>
        <v>10</v>
      </c>
      <c r="CQ16" s="2">
        <f t="shared" ref="CQ16" si="65">SUM(CQ6:CQ15)</f>
        <v>0</v>
      </c>
      <c r="CR16" s="2">
        <f t="shared" ref="CR16" si="66">SUM(CR6:CR15)</f>
        <v>0</v>
      </c>
      <c r="CS16" s="2">
        <f>SUM(CS6:CS15)</f>
        <v>0</v>
      </c>
      <c r="CT16">
        <f>SUM(CT6:CT15)</f>
        <v>0</v>
      </c>
      <c r="CU16" s="2">
        <f>SUM(CU6:CU15)</f>
        <v>10</v>
      </c>
      <c r="CV16" s="2">
        <f t="shared" ref="CV16" si="67">SUM(CV6:CV15)</f>
        <v>0</v>
      </c>
      <c r="CW16" s="2">
        <f t="shared" ref="CW16" si="68">SUM(CW6:CW15)</f>
        <v>0</v>
      </c>
      <c r="CX16" s="2">
        <f>SUM(CX6:CX15)</f>
        <v>0</v>
      </c>
    </row>
    <row r="17" spans="1:52" x14ac:dyDescent="0.25">
      <c r="A17" s="32"/>
      <c r="B17" s="32"/>
      <c r="C17" s="20"/>
      <c r="D17" s="17"/>
      <c r="H17" s="21"/>
      <c r="I17" s="21"/>
      <c r="M17" s="20"/>
      <c r="N17" s="17"/>
      <c r="R17" s="20"/>
      <c r="S17" s="17"/>
      <c r="W17" s="20"/>
      <c r="X17" s="17"/>
      <c r="AB17" s="20"/>
      <c r="AC17" s="17"/>
      <c r="AG17" s="20"/>
      <c r="AH17" s="17"/>
      <c r="AL17" s="20"/>
      <c r="AM17" s="17"/>
      <c r="AQ17" s="20"/>
      <c r="AR17" s="17"/>
      <c r="AV17" s="20"/>
      <c r="AW17" s="17"/>
    </row>
    <row r="18" spans="1:52" x14ac:dyDescent="0.25">
      <c r="A18" t="s">
        <v>12</v>
      </c>
      <c r="C18" s="20">
        <f>10*LOG10(BB16/BA16)</f>
        <v>61.076424206275924</v>
      </c>
      <c r="D18" s="17"/>
      <c r="H18" s="20">
        <f>10*LOG10(BG16/BF16)</f>
        <v>71.429926251451946</v>
      </c>
      <c r="I18" s="21"/>
      <c r="M18" s="20">
        <f>10*LOG10(BL16/BK16)</f>
        <v>66.076418798354069</v>
      </c>
      <c r="N18" s="17"/>
      <c r="R18" s="20">
        <f>IF(R4=0," ",10*LOG10(BQ16/BP16))</f>
        <v>68.429926977066515</v>
      </c>
      <c r="S18" s="17"/>
      <c r="W18" s="20" t="e">
        <f>10*LOG10(BV16/BU16)</f>
        <v>#DIV/0!</v>
      </c>
      <c r="X18" s="17"/>
      <c r="AB18" s="20" t="e">
        <f>10*LOG10(CA16/BZ16)</f>
        <v>#DIV/0!</v>
      </c>
      <c r="AC18" s="17"/>
      <c r="AG18" s="20" t="e">
        <f>10*LOG10(CF16/CE16)</f>
        <v>#DIV/0!</v>
      </c>
      <c r="AH18" s="17"/>
      <c r="AL18" s="20" t="e">
        <f>10*LOG10(CK16/CJ16)</f>
        <v>#DIV/0!</v>
      </c>
      <c r="AM18" s="17"/>
      <c r="AQ18" s="20" t="e">
        <f>10*LOG10(CP16/CO16)</f>
        <v>#DIV/0!</v>
      </c>
      <c r="AR18" s="17"/>
      <c r="AV18" s="20" t="e">
        <f>10*LOG10(CU16/CT16)</f>
        <v>#DIV/0!</v>
      </c>
      <c r="AW18" s="17"/>
    </row>
    <row r="19" spans="1:52" x14ac:dyDescent="0.25">
      <c r="C19" s="20"/>
      <c r="D19" s="17"/>
      <c r="H19" s="20"/>
      <c r="I19" s="21"/>
      <c r="M19" s="20"/>
      <c r="N19" s="17"/>
      <c r="R19" s="20"/>
      <c r="S19" s="17"/>
      <c r="W19" s="20"/>
      <c r="X19" s="17"/>
      <c r="AB19" s="20"/>
      <c r="AC19" s="17"/>
      <c r="AG19" s="20"/>
      <c r="AH19" s="17"/>
      <c r="AL19" s="20"/>
      <c r="AM19" s="17"/>
      <c r="AQ19" s="20"/>
      <c r="AR19" s="17"/>
      <c r="AV19" s="20"/>
      <c r="AW19" s="17"/>
    </row>
    <row r="20" spans="1:52" ht="13.2" customHeight="1" x14ac:dyDescent="0.25">
      <c r="A20" s="14" t="s">
        <v>14</v>
      </c>
      <c r="C20" s="20">
        <f>SQRT(BC16/BA16/(BA16-1))</f>
        <v>0.57735026918962573</v>
      </c>
      <c r="D20" s="20"/>
      <c r="E20" s="31"/>
      <c r="F20" s="31"/>
      <c r="G20" s="31"/>
      <c r="H20" s="20">
        <f>SQRT(BH16/BF16/(BF16-1))</f>
        <v>0.66666666666666674</v>
      </c>
      <c r="I20" s="24"/>
      <c r="J20" s="31"/>
      <c r="K20" s="31"/>
      <c r="L20" s="31"/>
      <c r="M20" s="20">
        <f>SQRT(BM16/BK16/(BK16-1))</f>
        <v>0.57735026918962573</v>
      </c>
      <c r="N20" s="20"/>
      <c r="O20" s="31"/>
      <c r="P20" s="31"/>
      <c r="Q20" s="31"/>
      <c r="R20" s="20">
        <f>IF(R4=0," ",SQRT(BR16/BP16/(BP16-1)))</f>
        <v>0.66666666666666674</v>
      </c>
      <c r="S20" s="20"/>
      <c r="T20" s="31"/>
      <c r="U20" s="31"/>
      <c r="V20" s="31"/>
      <c r="W20" s="20" t="e">
        <f>SQRT(BW16/BU16/(BU16-1))</f>
        <v>#DIV/0!</v>
      </c>
      <c r="X20" s="20"/>
      <c r="Y20" s="31"/>
      <c r="Z20" s="31"/>
      <c r="AA20" s="31"/>
      <c r="AB20" s="20" t="e">
        <f>SQRT(CB16/BZ16/(BZ16-1))</f>
        <v>#DIV/0!</v>
      </c>
      <c r="AC20" s="20"/>
      <c r="AD20" s="31"/>
      <c r="AE20" s="31"/>
      <c r="AF20" s="31"/>
      <c r="AG20" s="20" t="e">
        <f>SQRT(CG16/CE16/(CE16-1))</f>
        <v>#DIV/0!</v>
      </c>
      <c r="AH20" s="20"/>
      <c r="AI20" s="31"/>
      <c r="AJ20" s="31"/>
      <c r="AK20" s="31"/>
      <c r="AL20" s="20" t="e">
        <f>SQRT(CL16/CJ16/(CJ16-1))</f>
        <v>#DIV/0!</v>
      </c>
      <c r="AM20" s="20"/>
      <c r="AN20" s="31"/>
      <c r="AO20" s="31"/>
      <c r="AP20" s="31"/>
      <c r="AQ20" s="20" t="e">
        <f>SQRT(CQ16/CO16/(CO16-1))</f>
        <v>#DIV/0!</v>
      </c>
      <c r="AR20" s="20"/>
      <c r="AS20" s="31"/>
      <c r="AT20" s="31"/>
      <c r="AU20" s="31"/>
      <c r="AV20" s="20" t="e">
        <f>SQRT(CV16/CT16/(CT16-1))</f>
        <v>#DIV/0!</v>
      </c>
      <c r="AW20" s="20"/>
      <c r="AX20" s="31"/>
      <c r="AY20" s="31"/>
      <c r="AZ20" s="31"/>
    </row>
    <row r="21" spans="1:52" ht="13.2" customHeight="1" x14ac:dyDescent="0.25">
      <c r="A21" s="14"/>
      <c r="C21" s="20"/>
      <c r="D21" s="20"/>
      <c r="E21" s="31"/>
      <c r="F21" s="31"/>
      <c r="G21" s="31"/>
      <c r="H21" s="20"/>
      <c r="I21" s="24"/>
      <c r="J21" s="31"/>
      <c r="K21" s="31"/>
      <c r="L21" s="31"/>
      <c r="M21" s="20"/>
      <c r="N21" s="20"/>
      <c r="O21" s="31"/>
      <c r="P21" s="31"/>
      <c r="Q21" s="31"/>
      <c r="R21" s="20"/>
      <c r="S21" s="20"/>
      <c r="T21" s="31"/>
      <c r="U21" s="31"/>
      <c r="V21" s="31"/>
      <c r="W21" s="20"/>
      <c r="X21" s="20"/>
      <c r="Y21" s="31"/>
      <c r="Z21" s="31"/>
      <c r="AA21" s="31"/>
      <c r="AB21" s="20"/>
      <c r="AC21" s="20"/>
      <c r="AD21" s="31"/>
      <c r="AE21" s="31"/>
      <c r="AF21" s="31"/>
      <c r="AG21" s="20"/>
      <c r="AH21" s="20"/>
      <c r="AI21" s="31"/>
      <c r="AJ21" s="31"/>
      <c r="AK21" s="31"/>
      <c r="AL21" s="20"/>
      <c r="AM21" s="20"/>
      <c r="AN21" s="31"/>
      <c r="AO21" s="31"/>
      <c r="AP21" s="31"/>
      <c r="AQ21" s="20"/>
      <c r="AR21" s="20"/>
      <c r="AS21" s="31"/>
      <c r="AT21" s="31"/>
      <c r="AU21" s="31"/>
      <c r="AV21" s="20"/>
      <c r="AW21" s="20"/>
      <c r="AX21" s="31"/>
      <c r="AY21" s="31"/>
      <c r="AZ21" s="31"/>
    </row>
    <row r="22" spans="1:52" ht="19.8" customHeight="1" x14ac:dyDescent="0.3">
      <c r="A22" t="s">
        <v>13</v>
      </c>
      <c r="C22" s="20">
        <f>SUM(C6:C16)/BA16</f>
        <v>61</v>
      </c>
      <c r="D22" s="17"/>
      <c r="H22" s="20">
        <f>SUM(H6:H16)/BF16</f>
        <v>71.333333333333329</v>
      </c>
      <c r="I22" s="21"/>
      <c r="M22" s="20">
        <f>SUM(M6:M16)/BK16</f>
        <v>66</v>
      </c>
      <c r="N22" s="17"/>
      <c r="R22" s="20">
        <f>IF(R4=0," ",SUM(R6:R16)/BP16)</f>
        <v>68.333333333333329</v>
      </c>
      <c r="S22" s="17"/>
      <c r="W22" s="20" t="e">
        <f>SUM(W6:W16)/BU16</f>
        <v>#DIV/0!</v>
      </c>
      <c r="X22" s="17"/>
      <c r="AB22" s="20" t="e">
        <f>SUM(AB6:AB16)/BZ16</f>
        <v>#DIV/0!</v>
      </c>
      <c r="AC22" s="17"/>
      <c r="AG22" s="20" t="e">
        <f>SUM(AG6:AG16)/CE16</f>
        <v>#DIV/0!</v>
      </c>
      <c r="AH22" s="17"/>
      <c r="AL22" s="20" t="e">
        <f>SUM(AL6:AL16)/CJ16</f>
        <v>#DIV/0!</v>
      </c>
      <c r="AM22" s="17"/>
      <c r="AQ22" s="20" t="e">
        <f>SUM(AQ6:AQ16)/CO16</f>
        <v>#DIV/0!</v>
      </c>
      <c r="AR22" s="17"/>
      <c r="AV22" s="20" t="e">
        <f>SUM(AV6:AV16)/CT16</f>
        <v>#DIV/0!</v>
      </c>
      <c r="AW22" s="17"/>
    </row>
    <row r="23" spans="1:52" ht="15.6" customHeight="1" x14ac:dyDescent="0.25">
      <c r="C23" s="20"/>
      <c r="D23" s="17"/>
      <c r="H23" s="20"/>
      <c r="I23" s="21"/>
      <c r="M23" s="20"/>
      <c r="N23" s="17"/>
      <c r="R23" s="20"/>
      <c r="S23" s="17"/>
      <c r="W23" s="20"/>
      <c r="X23" s="17"/>
      <c r="AB23" s="20"/>
      <c r="AC23" s="17"/>
      <c r="AG23" s="20"/>
      <c r="AH23" s="17"/>
      <c r="AL23" s="20"/>
      <c r="AM23" s="17"/>
      <c r="AQ23" s="20"/>
      <c r="AR23" s="17"/>
      <c r="AV23" s="20"/>
      <c r="AW23" s="17"/>
    </row>
    <row r="24" spans="1:52" ht="24" customHeight="1" x14ac:dyDescent="0.25">
      <c r="A24" s="14" t="s">
        <v>10</v>
      </c>
      <c r="B24" s="3">
        <f ca="1">SUM(OFFSET(C24,0,0,1,5*B3))</f>
        <v>480</v>
      </c>
      <c r="C24" s="20">
        <f>SUM(D6:D15)/BE16</f>
        <v>120</v>
      </c>
      <c r="D24" s="17"/>
      <c r="H24" s="20">
        <f>SUM(I6:I15)/BJ16</f>
        <v>120</v>
      </c>
      <c r="I24" s="21"/>
      <c r="M24" s="20">
        <f>SUM(N6:N15)/BO16</f>
        <v>120</v>
      </c>
      <c r="N24" s="17"/>
      <c r="R24" s="20">
        <f>IF(R4=0," ",SUM(S6:S15)/BT16)</f>
        <v>120</v>
      </c>
      <c r="S24" s="17"/>
      <c r="W24" s="20" t="e">
        <f>SUM(X6:X15)/BY16</f>
        <v>#DIV/0!</v>
      </c>
      <c r="X24" s="17"/>
      <c r="AB24" s="20" t="e">
        <f>SUM(AC6:AC15)/CD16</f>
        <v>#DIV/0!</v>
      </c>
      <c r="AC24" s="17"/>
      <c r="AG24" s="20" t="e">
        <f>SUM(AH6:AH15)/CI16</f>
        <v>#DIV/0!</v>
      </c>
      <c r="AH24" s="17"/>
      <c r="AL24" s="20" t="e">
        <f>SUM(AM6:AM15)/CN16</f>
        <v>#DIV/0!</v>
      </c>
      <c r="AM24" s="17"/>
      <c r="AQ24" s="20" t="e">
        <f>SUM(AR6:AR15)/CS16</f>
        <v>#DIV/0!</v>
      </c>
      <c r="AR24" s="17"/>
      <c r="AV24" s="20" t="e">
        <f>SUM(AW6:AW15)/CX16</f>
        <v>#DIV/0!</v>
      </c>
      <c r="AW24" s="17"/>
    </row>
    <row r="25" spans="1:52" ht="32.4" customHeight="1" x14ac:dyDescent="0.25">
      <c r="A25" s="14" t="s">
        <v>11</v>
      </c>
      <c r="C25" s="20">
        <f>SQRT(BD16/BE16/(BE16-1))</f>
        <v>0</v>
      </c>
      <c r="D25" s="17"/>
      <c r="H25" s="20">
        <f>SQRT(BI16/BJ16/(BJ16-1))</f>
        <v>0</v>
      </c>
      <c r="I25" s="21"/>
      <c r="M25" s="20">
        <f>SQRT(BN16/BO16/(BO16-1))</f>
        <v>0</v>
      </c>
      <c r="N25" s="17"/>
      <c r="R25" s="20">
        <f>IF(R4=0," ",SQRT(BS16/BT16/(BT16-1)))</f>
        <v>0</v>
      </c>
      <c r="S25" s="17"/>
      <c r="W25" s="20" t="e">
        <f>SQRT(BX16/BY16/(BY16-1))</f>
        <v>#DIV/0!</v>
      </c>
      <c r="X25" s="17"/>
      <c r="AB25" s="20" t="e">
        <f>SQRT(CC16/CD16/(CD16-1))</f>
        <v>#DIV/0!</v>
      </c>
      <c r="AC25" s="17"/>
      <c r="AG25" s="20" t="e">
        <f>SQRT(CH16/CI16/(CI16-1))</f>
        <v>#DIV/0!</v>
      </c>
      <c r="AH25" s="17"/>
      <c r="AL25" s="20" t="e">
        <f>SQRT(CM16/CN16/(CN16-1))</f>
        <v>#DIV/0!</v>
      </c>
      <c r="AM25" s="17"/>
      <c r="AQ25" s="20" t="e">
        <f>SQRT(CR16/CS16/(CS16-1))</f>
        <v>#DIV/0!</v>
      </c>
      <c r="AR25" s="17"/>
      <c r="AV25" s="20" t="e">
        <f>SQRT(CW16/CX16/(CX16-1))</f>
        <v>#DIV/0!</v>
      </c>
      <c r="AW25" s="17"/>
    </row>
    <row r="26" spans="1:52" ht="19.8" customHeight="1" x14ac:dyDescent="0.25">
      <c r="A26" s="14"/>
      <c r="C26" s="20"/>
      <c r="D26" s="17"/>
      <c r="H26" s="20"/>
      <c r="I26" s="21"/>
      <c r="M26" s="20"/>
      <c r="N26" s="17"/>
      <c r="R26" s="20"/>
      <c r="S26" s="17"/>
      <c r="W26" s="20"/>
      <c r="X26" s="17"/>
      <c r="AB26" s="20"/>
      <c r="AC26" s="17"/>
      <c r="AG26" s="20"/>
      <c r="AH26" s="17"/>
      <c r="AL26" s="20"/>
      <c r="AM26" s="17"/>
      <c r="AQ26" s="20"/>
      <c r="AR26" s="17"/>
      <c r="AV26" s="20"/>
      <c r="AW26" s="17"/>
    </row>
    <row r="27" spans="1:52" x14ac:dyDescent="0.25">
      <c r="A27" t="s">
        <v>15</v>
      </c>
      <c r="C27" s="20">
        <f>C18+10*LOG10(C24/480)</f>
        <v>55.055824292996299</v>
      </c>
      <c r="D27" s="17"/>
      <c r="H27" s="20">
        <f>H18+10*LOG10(H24/480)</f>
        <v>65.40932633817232</v>
      </c>
      <c r="I27" s="21"/>
      <c r="M27" s="20">
        <f>M18+10*LOG10(M24/480)</f>
        <v>60.055818885074444</v>
      </c>
      <c r="N27" s="17"/>
      <c r="R27" s="20">
        <f>R18+10*LOG10(R24/480)</f>
        <v>62.40932706378689</v>
      </c>
      <c r="S27" s="17"/>
      <c r="W27" s="20" t="e">
        <f>W18+10*LOG10(W24/480)</f>
        <v>#DIV/0!</v>
      </c>
      <c r="X27" s="17"/>
      <c r="AB27" s="20" t="e">
        <f>AB18+10*LOG10(AB24/480)</f>
        <v>#DIV/0!</v>
      </c>
      <c r="AC27" s="17"/>
      <c r="AG27" s="20" t="e">
        <f>AG18+10*LOG10(AG24/480)</f>
        <v>#DIV/0!</v>
      </c>
      <c r="AH27" s="17"/>
      <c r="AL27" s="20" t="e">
        <f>AL18+10*LOG10(AL24/480)</f>
        <v>#DIV/0!</v>
      </c>
      <c r="AM27" s="17"/>
      <c r="AQ27" s="20" t="e">
        <f>AQ18+10*LOG10(AQ24/480)</f>
        <v>#DIV/0!</v>
      </c>
      <c r="AR27" s="17"/>
      <c r="AV27" s="20" t="e">
        <f>AV18+10*LOG10(AV24/480)</f>
        <v>#DIV/0!</v>
      </c>
      <c r="AW27" s="17"/>
    </row>
    <row r="28" spans="1:52" x14ac:dyDescent="0.25">
      <c r="C28" s="20"/>
      <c r="D28" s="17"/>
      <c r="H28" s="20"/>
      <c r="I28" s="21"/>
      <c r="M28" s="20"/>
      <c r="N28" s="17"/>
      <c r="R28" s="20"/>
      <c r="S28" s="17"/>
      <c r="W28" s="20"/>
      <c r="X28" s="17"/>
      <c r="AB28" s="20"/>
      <c r="AC28" s="17"/>
      <c r="AG28" s="20"/>
      <c r="AH28" s="17"/>
      <c r="AL28" s="20"/>
      <c r="AM28" s="17"/>
      <c r="AQ28" s="20"/>
      <c r="AR28" s="17"/>
      <c r="AV28" s="20"/>
      <c r="AW28" s="17"/>
    </row>
    <row r="29" spans="1:52" x14ac:dyDescent="0.25">
      <c r="A29" t="s">
        <v>16</v>
      </c>
      <c r="C29">
        <f ca="1">C24/480*POWER(10,0.1*(C18-$C$45))</f>
        <v>4.8906515028236397E-2</v>
      </c>
      <c r="D29" s="17"/>
      <c r="H29">
        <f ca="1">H24/480*POWER(10,0.1*(H18-$C$45))</f>
        <v>0.53053852002946311</v>
      </c>
      <c r="I29" s="21"/>
      <c r="M29">
        <f ca="1">M24/480*POWER(10,0.1*(M18-$C$45))</f>
        <v>0.15465578732987786</v>
      </c>
      <c r="N29" s="17"/>
      <c r="R29">
        <f ca="1">R24/480*POWER(10,0.1*(R18-$C$45))</f>
        <v>0.26589917761241993</v>
      </c>
      <c r="S29" s="17"/>
      <c r="W29" t="e">
        <f ca="1">W24/480*POWER(10,0.1*(W18-$C$45))</f>
        <v>#DIV/0!</v>
      </c>
      <c r="X29" s="17"/>
      <c r="AB29" t="e">
        <f ca="1">AB24/480*POWER(10,0.1*(AB18-$C$45))</f>
        <v>#DIV/0!</v>
      </c>
      <c r="AC29" s="17"/>
      <c r="AG29" t="e">
        <f ca="1">AG24/480*POWER(10,0.1*(AG18-$C$45))</f>
        <v>#DIV/0!</v>
      </c>
      <c r="AH29" s="17"/>
      <c r="AL29" t="e">
        <f ca="1">AL24/480*POWER(10,0.1*(AL18-$C$45))</f>
        <v>#DIV/0!</v>
      </c>
      <c r="AM29" s="17"/>
      <c r="AQ29" t="e">
        <f ca="1">AQ24/480*POWER(10,0.1*(AQ18-$C$45))</f>
        <v>#DIV/0!</v>
      </c>
      <c r="AR29" s="17"/>
      <c r="AV29" t="e">
        <f ca="1">AV24/480*POWER(10,0.1*(AV18-$C$45))</f>
        <v>#DIV/0!</v>
      </c>
      <c r="AW29" s="17"/>
    </row>
    <row r="30" spans="1:52" x14ac:dyDescent="0.25">
      <c r="C30" s="20"/>
      <c r="D30" s="17"/>
      <c r="H30" s="20"/>
      <c r="I30" s="21"/>
      <c r="M30" s="20"/>
      <c r="N30" s="17"/>
      <c r="R30" s="20"/>
      <c r="S30" s="17"/>
      <c r="W30" s="20"/>
      <c r="X30" s="17"/>
      <c r="AB30" s="20"/>
      <c r="AC30" s="17"/>
      <c r="AG30" s="20"/>
      <c r="AH30" s="17"/>
      <c r="AL30" s="20"/>
      <c r="AM30" s="17"/>
      <c r="AQ30" s="20"/>
      <c r="AR30" s="17"/>
      <c r="AV30" s="20"/>
      <c r="AW30" s="17"/>
    </row>
    <row r="31" spans="1:52" x14ac:dyDescent="0.25">
      <c r="A31" t="s">
        <v>17</v>
      </c>
      <c r="C31">
        <f ca="1">4.34*C29/C24</f>
        <v>1.7687856268545495E-3</v>
      </c>
      <c r="D31" s="17"/>
      <c r="H31">
        <f ca="1">4.34*H29/H24</f>
        <v>1.9187809807732249E-2</v>
      </c>
      <c r="I31" s="21"/>
      <c r="M31">
        <f ca="1">4.34*M29/M24</f>
        <v>5.5933843084305821E-3</v>
      </c>
      <c r="N31" s="17"/>
      <c r="R31">
        <f ca="1">4.34*R29/R24</f>
        <v>9.6166869236491877E-3</v>
      </c>
      <c r="S31" s="17"/>
      <c r="W31" t="e">
        <f ca="1">4.34*W29/W24</f>
        <v>#DIV/0!</v>
      </c>
      <c r="X31" s="17"/>
      <c r="AB31" t="e">
        <f ca="1">4.34*AB29/AB24</f>
        <v>#DIV/0!</v>
      </c>
      <c r="AC31" s="17"/>
      <c r="AG31" t="e">
        <f ca="1">4.34*AG29/AG24</f>
        <v>#DIV/0!</v>
      </c>
      <c r="AH31" s="17"/>
      <c r="AL31" t="e">
        <f ca="1">4.34*AL29/AL24</f>
        <v>#DIV/0!</v>
      </c>
      <c r="AM31" s="17"/>
      <c r="AQ31" t="e">
        <f ca="1">4.34*AQ29/AQ24</f>
        <v>#DIV/0!</v>
      </c>
      <c r="AR31" s="17"/>
      <c r="AV31" t="e">
        <f ca="1">4.34*AV29/AV24</f>
        <v>#DIV/0!</v>
      </c>
      <c r="AW31" s="17"/>
    </row>
    <row r="32" spans="1:52" x14ac:dyDescent="0.25">
      <c r="C32" s="20"/>
      <c r="D32" s="17"/>
      <c r="H32" s="20"/>
      <c r="I32" s="21"/>
      <c r="M32" s="20"/>
      <c r="N32" s="17"/>
      <c r="R32" s="20"/>
      <c r="S32" s="17"/>
      <c r="W32" s="20"/>
      <c r="X32" s="17"/>
      <c r="AB32" s="20"/>
      <c r="AC32" s="17"/>
      <c r="AG32" s="20"/>
      <c r="AH32" s="17"/>
      <c r="AL32" s="20"/>
      <c r="AM32" s="17"/>
      <c r="AQ32" s="20"/>
      <c r="AR32" s="17"/>
      <c r="AV32" s="20"/>
      <c r="AW32" s="17"/>
    </row>
    <row r="33" spans="1:53" x14ac:dyDescent="0.25">
      <c r="C33" s="20"/>
      <c r="D33" s="17"/>
      <c r="H33" s="20"/>
      <c r="I33" s="21"/>
      <c r="M33" s="20"/>
      <c r="N33" s="17"/>
      <c r="R33" s="20"/>
      <c r="S33" s="17"/>
      <c r="W33" s="20"/>
      <c r="X33" s="17"/>
      <c r="AB33" s="20"/>
      <c r="AC33" s="17"/>
      <c r="AG33" s="20"/>
      <c r="AH33" s="17"/>
      <c r="AL33" s="20"/>
      <c r="AM33" s="17"/>
      <c r="AQ33" s="20"/>
      <c r="AR33" s="17"/>
      <c r="AV33" s="20"/>
      <c r="AW33" s="17"/>
    </row>
    <row r="34" spans="1:53" x14ac:dyDescent="0.25">
      <c r="C34" s="3"/>
      <c r="M34" s="3"/>
      <c r="R34" s="3"/>
      <c r="W34" s="3"/>
      <c r="AB34" s="3"/>
      <c r="AG34" s="3"/>
      <c r="AL34" s="3"/>
      <c r="AQ34" s="3"/>
      <c r="AV34" s="3"/>
    </row>
    <row r="35" spans="1:53" x14ac:dyDescent="0.25">
      <c r="C35" s="3"/>
      <c r="M35" s="3"/>
      <c r="R35" s="3"/>
      <c r="W35" s="3"/>
      <c r="AB35" s="3"/>
      <c r="AG35" s="3"/>
      <c r="AL35" s="3"/>
      <c r="AQ35" s="3"/>
      <c r="AV35" s="3"/>
    </row>
    <row r="36" spans="1:53" x14ac:dyDescent="0.25">
      <c r="A36" t="s">
        <v>31</v>
      </c>
      <c r="B36" s="3">
        <f ca="1">SUM(OFFSET(C36,0,0,1,5*B3))</f>
        <v>6549614.0988510214</v>
      </c>
      <c r="C36" s="36">
        <f>POWER(10,0.1*C27)</f>
        <v>320318.8003546074</v>
      </c>
      <c r="D36" s="36"/>
      <c r="E36" s="37"/>
      <c r="F36" s="37"/>
      <c r="G36" s="37"/>
      <c r="H36" s="36">
        <f>POWER(10,0.1*H27)</f>
        <v>3474822.5707685328</v>
      </c>
      <c r="I36" s="36"/>
      <c r="J36" s="37"/>
      <c r="K36" s="37"/>
      <c r="L36" s="37"/>
      <c r="M36" s="36">
        <f>POWER(10,0.1*M27)</f>
        <v>1012935.7251646766</v>
      </c>
      <c r="N36" s="36"/>
      <c r="O36" s="37"/>
      <c r="P36" s="37"/>
      <c r="Q36" s="37"/>
      <c r="R36" s="36">
        <f>POWER(10,0.1*R27)</f>
        <v>1741537.0025632046</v>
      </c>
      <c r="S36" s="36"/>
      <c r="T36" s="37"/>
      <c r="U36" s="37"/>
      <c r="V36" s="37"/>
      <c r="W36" s="36" t="e">
        <f>POWER(10,0.1*W27)</f>
        <v>#DIV/0!</v>
      </c>
      <c r="X36" s="36"/>
      <c r="Y36" s="37"/>
      <c r="Z36" s="37"/>
      <c r="AA36" s="37"/>
      <c r="AB36" s="36" t="e">
        <f>POWER(10,0.1*AB27)</f>
        <v>#DIV/0!</v>
      </c>
      <c r="AC36" s="36"/>
      <c r="AD36" s="37"/>
      <c r="AE36" s="37"/>
      <c r="AF36" s="37"/>
      <c r="AG36" s="36" t="e">
        <f>POWER(10,0.1*AG27)</f>
        <v>#DIV/0!</v>
      </c>
      <c r="AH36" s="36"/>
      <c r="AI36" s="37"/>
      <c r="AJ36" s="37"/>
      <c r="AK36" s="37"/>
      <c r="AL36" s="36" t="e">
        <f>POWER(10,0.1*AL27)</f>
        <v>#DIV/0!</v>
      </c>
      <c r="AM36" s="36"/>
      <c r="AN36" s="37"/>
      <c r="AO36" s="37"/>
      <c r="AP36" s="37"/>
      <c r="AQ36" s="36" t="e">
        <f>POWER(10,0.1*AQ27)</f>
        <v>#DIV/0!</v>
      </c>
      <c r="AR36" s="36"/>
      <c r="AS36" s="37"/>
      <c r="AT36" s="37"/>
      <c r="AU36" s="37"/>
      <c r="AV36" s="36" t="e">
        <f>POWER(10,0.1*AV27)</f>
        <v>#DIV/0!</v>
      </c>
    </row>
    <row r="37" spans="1:53" x14ac:dyDescent="0.25">
      <c r="B37" s="36"/>
      <c r="C37" s="36"/>
      <c r="D37" s="36"/>
      <c r="E37" s="37"/>
      <c r="F37" s="37"/>
      <c r="G37" s="37"/>
      <c r="H37" s="36"/>
      <c r="I37" s="36"/>
      <c r="J37" s="37"/>
      <c r="K37" s="37"/>
      <c r="L37" s="37"/>
      <c r="M37" s="36"/>
      <c r="N37" s="36"/>
      <c r="O37" s="37"/>
      <c r="P37" s="37"/>
      <c r="Q37" s="37"/>
      <c r="R37" s="36"/>
      <c r="S37" s="36"/>
      <c r="T37" s="37"/>
      <c r="U37" s="37"/>
      <c r="V37" s="37"/>
      <c r="W37" s="36"/>
      <c r="X37" s="36"/>
      <c r="Y37" s="37"/>
      <c r="Z37" s="37"/>
      <c r="AA37" s="37"/>
      <c r="AB37" s="36"/>
      <c r="AC37" s="36"/>
      <c r="AD37" s="37"/>
      <c r="AE37" s="37"/>
      <c r="AF37" s="37"/>
      <c r="AG37" s="36"/>
      <c r="AH37" s="36"/>
      <c r="AI37" s="37"/>
      <c r="AJ37" s="37"/>
      <c r="AK37" s="37"/>
      <c r="AL37" s="36"/>
      <c r="AM37" s="36"/>
      <c r="AN37" s="37"/>
      <c r="AO37" s="37"/>
      <c r="AP37" s="37"/>
      <c r="AQ37" s="36"/>
      <c r="AR37" s="36"/>
      <c r="AS37" s="37"/>
      <c r="AT37" s="37"/>
      <c r="AU37" s="37"/>
      <c r="AV37" s="36"/>
    </row>
    <row r="38" spans="1:53" x14ac:dyDescent="0.25">
      <c r="A38" t="s">
        <v>32</v>
      </c>
      <c r="B38" s="3">
        <f ca="1">SUM(OFFSET(C38,0,0,1,5*B3))</f>
        <v>0.72923243237765045</v>
      </c>
      <c r="C38" s="3">
        <f ca="1">C29*C29*(C20*C20+C39*C39+C40*C40)+(C31*C31*C25*C25)</f>
        <v>4.3611347502576347E-3</v>
      </c>
      <c r="H38" s="3">
        <f ca="1">H29*H29*(H20*H20+H39*H39+H40*H40)+(H31*H31*H25*H25)</f>
        <v>0.54449024674469704</v>
      </c>
      <c r="M38" s="3">
        <f ca="1">M29*M29*(M20*M20+M39*M39+M40*M40)+(M31*M31*M25*M25)</f>
        <v>4.3611238891265169E-2</v>
      </c>
      <c r="R38" s="3">
        <f ca="1">R29*R29*(R20*R20+R39*R39+R40*R40)+(R31*R31*R25*R25)</f>
        <v>0.13676981199143057</v>
      </c>
      <c r="W38" s="3" t="e">
        <f ca="1">W29*W29*(W20*W20+W39*W39+W40*W40)+(W31*W31*W25*W25)</f>
        <v>#DIV/0!</v>
      </c>
      <c r="AB38" s="3" t="e">
        <f ca="1">AB29*AB29*(AB20*AB20+AB39*AB39+AB40*AB40)+(AB31*AB31*AB25*AB25)</f>
        <v>#DIV/0!</v>
      </c>
      <c r="AG38" s="3" t="e">
        <f ca="1">AG29*AG29*(AG20*AG20+AG39*AG39+AG40*AG40)+(AG31*AG31*AG25*AG25)</f>
        <v>#DIV/0!</v>
      </c>
      <c r="AL38" s="3" t="e">
        <f ca="1">AL29*AL29*(AL20*AL20+AL39*AL39+AL40*AL40)+(AL31*AL31*AL25*AL25)</f>
        <v>#DIV/0!</v>
      </c>
      <c r="AQ38" s="3" t="e">
        <f ca="1">AQ29*AQ29*(AQ20*AQ20+AQ39*AQ39+AQ40*AQ40)+(AQ31*AQ31*AQ25*AQ25)</f>
        <v>#DIV/0!</v>
      </c>
      <c r="AV38" s="3" t="e">
        <f ca="1">AV29*AV29*(AV20*AV20+AV39*AV39+AV40*AV40)+(AV31*AV31*AV25*AV25)</f>
        <v>#DIV/0!</v>
      </c>
    </row>
    <row r="39" spans="1:53" x14ac:dyDescent="0.25">
      <c r="A39" t="s">
        <v>33</v>
      </c>
      <c r="C39">
        <f>'Рабочая операция'!$B$14</f>
        <v>0.7</v>
      </c>
      <c r="H39">
        <f>'Рабочая операция'!$B$14</f>
        <v>0.7</v>
      </c>
      <c r="M39">
        <f>'Рабочая операция'!$B$14</f>
        <v>0.7</v>
      </c>
      <c r="R39">
        <f>'Рабочая операция'!$B$14</f>
        <v>0.7</v>
      </c>
      <c r="W39">
        <f>'Рабочая операция'!$B$14</f>
        <v>0.7</v>
      </c>
      <c r="AB39">
        <f>'Рабочая операция'!$B$14</f>
        <v>0.7</v>
      </c>
      <c r="AG39">
        <f>'Рабочая операция'!$B$14</f>
        <v>0.7</v>
      </c>
      <c r="AL39">
        <f>'Рабочая операция'!$B$14</f>
        <v>0.7</v>
      </c>
      <c r="AQ39">
        <f>'Рабочая операция'!$B$14</f>
        <v>0.7</v>
      </c>
      <c r="AV39">
        <f>'Рабочая операция'!$B$14</f>
        <v>0.7</v>
      </c>
    </row>
    <row r="40" spans="1:53" x14ac:dyDescent="0.25">
      <c r="A40" t="s">
        <v>35</v>
      </c>
      <c r="C40">
        <v>1</v>
      </c>
      <c r="H40">
        <v>1</v>
      </c>
      <c r="M40">
        <v>1</v>
      </c>
      <c r="R40">
        <v>1</v>
      </c>
      <c r="W40">
        <v>1</v>
      </c>
      <c r="AB40">
        <v>1</v>
      </c>
      <c r="AG40">
        <v>1</v>
      </c>
      <c r="AL40">
        <v>1</v>
      </c>
      <c r="AQ40">
        <v>1</v>
      </c>
      <c r="AV40">
        <v>1</v>
      </c>
    </row>
    <row r="41" spans="1:53" x14ac:dyDescent="0.25">
      <c r="BA41">
        <f>'Рабочая операция'!$B$14</f>
        <v>0.7</v>
      </c>
    </row>
    <row r="45" spans="1:53" x14ac:dyDescent="0.25">
      <c r="A45" t="s">
        <v>34</v>
      </c>
      <c r="C45" s="26">
        <f ca="1">10*LOG10(B36)</f>
        <v>68.162157122548706</v>
      </c>
      <c r="M45" s="26"/>
      <c r="R45" s="26"/>
      <c r="W45" s="26"/>
      <c r="AB45" s="26"/>
      <c r="AG45" s="26"/>
      <c r="AL45" s="26"/>
      <c r="AQ45" s="26"/>
      <c r="AV45" s="26"/>
    </row>
    <row r="46" spans="1:53" x14ac:dyDescent="0.25">
      <c r="C46" s="27"/>
      <c r="M46" s="27"/>
      <c r="R46" s="27"/>
      <c r="W46" s="27"/>
      <c r="AB46" s="27"/>
      <c r="AG46" s="27"/>
      <c r="AL46" s="27"/>
      <c r="AQ46" s="27"/>
      <c r="AV46" s="27"/>
    </row>
    <row r="47" spans="1:53" x14ac:dyDescent="0.25">
      <c r="A47" t="s">
        <v>51</v>
      </c>
      <c r="B47">
        <f ca="1">SQRT(B38)</f>
        <v>0.85395107141899551</v>
      </c>
      <c r="C47" s="26"/>
      <c r="M47" s="26"/>
      <c r="R47" s="26"/>
      <c r="W47" s="26"/>
      <c r="AB47" s="26"/>
      <c r="AG47" s="26"/>
      <c r="AL47" s="26"/>
      <c r="AQ47" s="26"/>
      <c r="AV47" s="26"/>
    </row>
    <row r="48" spans="1:53" x14ac:dyDescent="0.25">
      <c r="A48" t="s">
        <v>53</v>
      </c>
      <c r="B48">
        <f ca="1">B47*1.65</f>
        <v>1.4090192678413425</v>
      </c>
    </row>
    <row r="49" spans="1:2" x14ac:dyDescent="0.25">
      <c r="A49" t="s">
        <v>52</v>
      </c>
      <c r="B49">
        <f ca="1">B47*2</f>
        <v>1.707902142837991</v>
      </c>
    </row>
    <row r="53" spans="1:2" x14ac:dyDescent="0.25">
      <c r="A53" s="14"/>
    </row>
    <row r="54" spans="1:2" x14ac:dyDescent="0.25">
      <c r="A54" s="14"/>
    </row>
    <row r="55" spans="1:2" x14ac:dyDescent="0.25">
      <c r="A55" s="14"/>
    </row>
  </sheetData>
  <sheetProtection password="EF24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7"/>
  <sheetViews>
    <sheetView topLeftCell="A5" zoomScale="80" zoomScaleNormal="80" workbookViewId="0">
      <selection activeCell="D8" sqref="D8"/>
    </sheetView>
  </sheetViews>
  <sheetFormatPr defaultRowHeight="13.2" x14ac:dyDescent="0.25"/>
  <cols>
    <col min="1" max="1" width="48" customWidth="1"/>
    <col min="2" max="2" width="6.44140625" customWidth="1"/>
    <col min="3" max="3" width="4.44140625" customWidth="1"/>
    <col min="5" max="5" width="11" bestFit="1" customWidth="1"/>
    <col min="8" max="8" width="10.5546875" bestFit="1" customWidth="1"/>
  </cols>
  <sheetData>
    <row r="1" spans="1:22" x14ac:dyDescent="0.25">
      <c r="E1" t="s">
        <v>104</v>
      </c>
      <c r="F1" t="s">
        <v>105</v>
      </c>
      <c r="G1" t="s">
        <v>106</v>
      </c>
      <c r="H1" t="s">
        <v>107</v>
      </c>
    </row>
    <row r="2" spans="1:22" x14ac:dyDescent="0.25">
      <c r="A2" t="s">
        <v>101</v>
      </c>
      <c r="F2">
        <f>IF(D5&lt;5,0,1)</f>
        <v>1</v>
      </c>
      <c r="G2">
        <f>IF(D5&lt;15,0,1)</f>
        <v>1</v>
      </c>
    </row>
    <row r="3" spans="1:22" x14ac:dyDescent="0.25">
      <c r="F3">
        <f>IF(D5&gt;=15,0,1)</f>
        <v>0</v>
      </c>
      <c r="G3">
        <f>IF(D5&gt;39,0,1)</f>
        <v>1</v>
      </c>
    </row>
    <row r="4" spans="1:22" x14ac:dyDescent="0.25">
      <c r="A4" t="s">
        <v>102</v>
      </c>
      <c r="F4" t="b">
        <f>AND(F2,F3)</f>
        <v>0</v>
      </c>
      <c r="G4" t="b">
        <f>AND(G2,G3)</f>
        <v>1</v>
      </c>
    </row>
    <row r="5" spans="1:22" x14ac:dyDescent="0.25">
      <c r="A5" t="s">
        <v>103</v>
      </c>
      <c r="D5">
        <f>'Трудовая функция'!C11</f>
        <v>18</v>
      </c>
      <c r="E5">
        <f>IF(D5&lt;5,5,0)</f>
        <v>0</v>
      </c>
      <c r="F5">
        <f>IF(F4,5+(D5-5)*0.5,0)</f>
        <v>0</v>
      </c>
      <c r="G5">
        <f>IF(G4,10+(D5-15)*0.25,0)</f>
        <v>10.75</v>
      </c>
      <c r="H5">
        <f>IF(D5&gt;39,17,0)</f>
        <v>0</v>
      </c>
    </row>
    <row r="6" spans="1:22" x14ac:dyDescent="0.25">
      <c r="A6" t="s">
        <v>109</v>
      </c>
      <c r="D6">
        <f>SUM(E5:H5)</f>
        <v>10.75</v>
      </c>
    </row>
    <row r="7" spans="1:22" x14ac:dyDescent="0.25">
      <c r="A7" t="s">
        <v>108</v>
      </c>
      <c r="D7">
        <f>'Трудовая функция'!C12</f>
        <v>6</v>
      </c>
    </row>
    <row r="8" spans="1:22" x14ac:dyDescent="0.25">
      <c r="A8" t="s">
        <v>110</v>
      </c>
      <c r="D8">
        <f>D6*60/D7</f>
        <v>107.5</v>
      </c>
      <c r="K8" s="68">
        <v>1</v>
      </c>
      <c r="L8" s="68">
        <v>2</v>
      </c>
      <c r="M8" s="68">
        <v>3</v>
      </c>
      <c r="N8" s="68">
        <v>4</v>
      </c>
      <c r="O8" s="68">
        <v>5</v>
      </c>
      <c r="P8" s="68">
        <v>6</v>
      </c>
      <c r="Q8" s="68">
        <v>7</v>
      </c>
      <c r="R8" s="68">
        <v>8</v>
      </c>
      <c r="S8" s="68">
        <v>9</v>
      </c>
      <c r="T8" s="68">
        <v>10</v>
      </c>
      <c r="U8" s="68">
        <v>11</v>
      </c>
      <c r="V8" s="68">
        <v>12</v>
      </c>
    </row>
    <row r="9" spans="1:22" ht="13.8" thickBot="1" x14ac:dyDescent="0.3">
      <c r="A9" t="s">
        <v>113</v>
      </c>
      <c r="D9">
        <f>'Трудовая функция'!C13</f>
        <v>7.5</v>
      </c>
      <c r="K9" s="68">
        <v>0.5</v>
      </c>
      <c r="L9" s="68">
        <v>1</v>
      </c>
      <c r="M9" s="68">
        <v>1.5</v>
      </c>
      <c r="N9" s="68">
        <v>2</v>
      </c>
      <c r="O9" s="68">
        <v>2.5</v>
      </c>
      <c r="P9" s="68">
        <v>3</v>
      </c>
      <c r="Q9" s="68">
        <v>3.5</v>
      </c>
      <c r="R9" s="68">
        <v>4</v>
      </c>
      <c r="S9" s="68">
        <v>4.5</v>
      </c>
      <c r="T9" s="68">
        <v>5</v>
      </c>
      <c r="U9" s="68">
        <v>5.5</v>
      </c>
      <c r="V9" s="68">
        <v>6</v>
      </c>
    </row>
    <row r="10" spans="1:22" ht="15" thickTop="1" thickBot="1" x14ac:dyDescent="0.3">
      <c r="A10" t="s">
        <v>112</v>
      </c>
      <c r="C10">
        <v>1</v>
      </c>
      <c r="D10" s="8">
        <f>'Трудовая функция'!C14</f>
        <v>88.1</v>
      </c>
      <c r="E10">
        <f>POWER(10,0.1*D10)</f>
        <v>645654229.03465855</v>
      </c>
      <c r="F10">
        <f>IF(D10=0,0,1)</f>
        <v>1</v>
      </c>
      <c r="G10">
        <f>IF(F10=1,D10-$D$41,0)</f>
        <v>6.6666666666648666E-2</v>
      </c>
      <c r="H10">
        <f>G10*G10</f>
        <v>4.4444444444420445E-3</v>
      </c>
      <c r="I10">
        <v>3</v>
      </c>
      <c r="J10">
        <v>0</v>
      </c>
      <c r="K10" s="81">
        <v>0.6</v>
      </c>
      <c r="L10" s="82">
        <v>1.6</v>
      </c>
      <c r="M10" s="82">
        <v>3.1</v>
      </c>
      <c r="N10" s="83">
        <v>5.2</v>
      </c>
      <c r="O10" s="83">
        <v>8</v>
      </c>
      <c r="P10" s="83">
        <v>11.5</v>
      </c>
      <c r="Q10" s="83">
        <v>15.7</v>
      </c>
      <c r="R10" s="83">
        <v>20.6</v>
      </c>
      <c r="S10" s="83">
        <v>26.1</v>
      </c>
      <c r="T10" s="83">
        <v>32.200000000000003</v>
      </c>
      <c r="U10" s="83">
        <v>39</v>
      </c>
      <c r="V10" s="83">
        <v>46.5</v>
      </c>
    </row>
    <row r="11" spans="1:22" ht="14.4" thickBot="1" x14ac:dyDescent="0.3">
      <c r="C11">
        <v>2</v>
      </c>
      <c r="D11" s="8">
        <f>'Трудовая функция'!C15</f>
        <v>86.1</v>
      </c>
      <c r="E11">
        <f t="shared" ref="E11:E29" si="0">POWER(10,0.1*D11)</f>
        <v>407380277.80411249</v>
      </c>
      <c r="F11">
        <f t="shared" ref="F11:F29" si="1">IF(D11=0,0,1)</f>
        <v>1</v>
      </c>
      <c r="G11">
        <f t="shared" ref="G11:G29" si="2">IF(F11=1,D11-$D$41,0)</f>
        <v>-1.9333333333333513</v>
      </c>
      <c r="H11">
        <f t="shared" ref="H11:H29" si="3">G11*G11</f>
        <v>3.7377777777778474</v>
      </c>
      <c r="I11">
        <v>4</v>
      </c>
      <c r="J11">
        <v>0</v>
      </c>
      <c r="K11" s="84">
        <v>0.4</v>
      </c>
      <c r="L11" s="85">
        <v>0.9</v>
      </c>
      <c r="M11" s="85">
        <v>1.6</v>
      </c>
      <c r="N11" s="85">
        <v>2.5</v>
      </c>
      <c r="O11" s="86">
        <v>3.6</v>
      </c>
      <c r="P11" s="86">
        <v>5</v>
      </c>
      <c r="Q11" s="86">
        <v>6.7</v>
      </c>
      <c r="R11" s="86">
        <v>8.6</v>
      </c>
      <c r="S11" s="86">
        <v>10.9</v>
      </c>
      <c r="T11" s="86">
        <v>13.4</v>
      </c>
      <c r="U11" s="86">
        <v>16.100000000000001</v>
      </c>
      <c r="V11" s="86">
        <v>19.2</v>
      </c>
    </row>
    <row r="12" spans="1:22" ht="14.4" thickBot="1" x14ac:dyDescent="0.3">
      <c r="C12">
        <v>3</v>
      </c>
      <c r="D12" s="8">
        <f>'Трудовая функция'!C16</f>
        <v>89.7</v>
      </c>
      <c r="E12">
        <f t="shared" si="0"/>
        <v>933254300.79699397</v>
      </c>
      <c r="F12">
        <f t="shared" si="1"/>
        <v>1</v>
      </c>
      <c r="G12">
        <f t="shared" si="2"/>
        <v>1.6666666666666572</v>
      </c>
      <c r="H12">
        <f t="shared" si="3"/>
        <v>2.7777777777777461</v>
      </c>
      <c r="I12">
        <v>5</v>
      </c>
      <c r="J12">
        <v>0</v>
      </c>
      <c r="K12" s="84">
        <v>0.3</v>
      </c>
      <c r="L12" s="85">
        <v>0.7</v>
      </c>
      <c r="M12" s="85">
        <v>1.2</v>
      </c>
      <c r="N12" s="85">
        <v>1.7</v>
      </c>
      <c r="O12" s="85">
        <v>2.4</v>
      </c>
      <c r="P12" s="85">
        <v>3.3</v>
      </c>
      <c r="Q12" s="86">
        <v>4.4000000000000004</v>
      </c>
      <c r="R12" s="86">
        <v>5.6</v>
      </c>
      <c r="S12" s="86">
        <v>6.9</v>
      </c>
      <c r="T12" s="86">
        <v>8.5</v>
      </c>
      <c r="U12" s="86">
        <v>10.199999999999999</v>
      </c>
      <c r="V12" s="86">
        <v>12.1</v>
      </c>
    </row>
    <row r="13" spans="1:22" ht="14.4" thickBot="1" x14ac:dyDescent="0.3">
      <c r="C13">
        <v>4</v>
      </c>
      <c r="D13" s="8">
        <f>'Трудовая функция'!C17</f>
        <v>86.5</v>
      </c>
      <c r="E13">
        <f t="shared" si="0"/>
        <v>446683592.15096432</v>
      </c>
      <c r="F13">
        <f t="shared" si="1"/>
        <v>1</v>
      </c>
      <c r="G13">
        <f t="shared" si="2"/>
        <v>-1.5333333333333456</v>
      </c>
      <c r="H13">
        <f t="shared" si="3"/>
        <v>2.3511111111111487</v>
      </c>
      <c r="I13">
        <v>6</v>
      </c>
      <c r="J13">
        <v>0</v>
      </c>
      <c r="K13" s="84">
        <v>0.3</v>
      </c>
      <c r="L13" s="85">
        <v>0.6</v>
      </c>
      <c r="M13" s="85">
        <v>0.9</v>
      </c>
      <c r="N13" s="85">
        <v>1.4</v>
      </c>
      <c r="O13" s="85">
        <v>1.9</v>
      </c>
      <c r="P13" s="85">
        <v>2.6</v>
      </c>
      <c r="Q13" s="85">
        <v>3.3</v>
      </c>
      <c r="R13" s="86">
        <v>4.2</v>
      </c>
      <c r="S13" s="86">
        <v>5.2</v>
      </c>
      <c r="T13" s="86">
        <v>6.3</v>
      </c>
      <c r="U13" s="86">
        <v>7.6</v>
      </c>
      <c r="V13" s="86">
        <v>8.9</v>
      </c>
    </row>
    <row r="14" spans="1:22" ht="14.4" thickBot="1" x14ac:dyDescent="0.3">
      <c r="C14">
        <v>5</v>
      </c>
      <c r="D14" s="8">
        <f>'Трудовая функция'!C18</f>
        <v>91.1</v>
      </c>
      <c r="E14">
        <f t="shared" si="0"/>
        <v>1288249551.6931362</v>
      </c>
      <c r="F14">
        <f t="shared" si="1"/>
        <v>1</v>
      </c>
      <c r="G14">
        <f t="shared" si="2"/>
        <v>3.0666666666666487</v>
      </c>
      <c r="H14">
        <f t="shared" si="3"/>
        <v>9.4044444444443336</v>
      </c>
      <c r="I14">
        <v>7</v>
      </c>
      <c r="J14">
        <v>0</v>
      </c>
      <c r="K14" s="84">
        <v>0.2</v>
      </c>
      <c r="L14" s="85">
        <v>0.5</v>
      </c>
      <c r="M14" s="85">
        <v>0.8</v>
      </c>
      <c r="N14" s="85">
        <v>1.2</v>
      </c>
      <c r="O14" s="85">
        <v>1.6</v>
      </c>
      <c r="P14" s="85">
        <v>2.2000000000000002</v>
      </c>
      <c r="Q14" s="85">
        <v>2.8</v>
      </c>
      <c r="R14" s="85">
        <v>3.5</v>
      </c>
      <c r="S14" s="86">
        <v>4.3</v>
      </c>
      <c r="T14" s="86">
        <v>5.0999999999999996</v>
      </c>
      <c r="U14" s="86">
        <v>6.1</v>
      </c>
      <c r="V14" s="86">
        <v>7.2</v>
      </c>
    </row>
    <row r="15" spans="1:22" ht="14.4" thickBot="1" x14ac:dyDescent="0.3">
      <c r="C15">
        <v>6</v>
      </c>
      <c r="D15" s="8">
        <f>'Трудовая функция'!C19</f>
        <v>86.7</v>
      </c>
      <c r="E15">
        <f t="shared" si="0"/>
        <v>467735141.28719932</v>
      </c>
      <c r="F15">
        <f t="shared" si="1"/>
        <v>1</v>
      </c>
      <c r="G15">
        <f t="shared" si="2"/>
        <v>-1.3333333333333428</v>
      </c>
      <c r="H15">
        <f t="shared" si="3"/>
        <v>1.777777777777803</v>
      </c>
      <c r="I15">
        <v>8</v>
      </c>
      <c r="J15">
        <v>0</v>
      </c>
      <c r="K15" s="84">
        <v>0.2</v>
      </c>
      <c r="L15" s="85">
        <v>0.5</v>
      </c>
      <c r="M15" s="85">
        <v>0.7</v>
      </c>
      <c r="N15" s="85">
        <v>1.1000000000000001</v>
      </c>
      <c r="O15" s="85">
        <v>1.4</v>
      </c>
      <c r="P15" s="85">
        <v>1.9</v>
      </c>
      <c r="Q15" s="85">
        <v>2.4</v>
      </c>
      <c r="R15" s="85">
        <v>3</v>
      </c>
      <c r="S15" s="86">
        <v>3.6</v>
      </c>
      <c r="T15" s="86">
        <v>4.4000000000000004</v>
      </c>
      <c r="U15" s="86">
        <v>5.2</v>
      </c>
      <c r="V15" s="86">
        <v>6.1</v>
      </c>
    </row>
    <row r="16" spans="1:22" ht="14.4" thickBot="1" x14ac:dyDescent="0.3">
      <c r="C16">
        <v>7</v>
      </c>
      <c r="D16" s="8">
        <f>'Трудовая функция'!C20</f>
        <v>0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  <c r="I16">
        <v>9</v>
      </c>
      <c r="J16">
        <v>0</v>
      </c>
      <c r="K16" s="84">
        <v>0.2</v>
      </c>
      <c r="L16" s="85">
        <v>0.4</v>
      </c>
      <c r="M16" s="85">
        <v>0.7</v>
      </c>
      <c r="N16" s="85">
        <v>1</v>
      </c>
      <c r="O16" s="85">
        <v>1.3</v>
      </c>
      <c r="P16" s="85">
        <v>1.7</v>
      </c>
      <c r="Q16" s="85">
        <v>2.1</v>
      </c>
      <c r="R16" s="85">
        <v>2.6</v>
      </c>
      <c r="S16" s="85">
        <v>3.2</v>
      </c>
      <c r="T16" s="86">
        <v>3.9</v>
      </c>
      <c r="U16" s="86">
        <v>4.5999999999999996</v>
      </c>
      <c r="V16" s="86">
        <v>5.4</v>
      </c>
    </row>
    <row r="17" spans="3:22" ht="14.4" thickBot="1" x14ac:dyDescent="0.3">
      <c r="C17">
        <v>8</v>
      </c>
      <c r="D17" s="8">
        <f>'Трудовая функция'!C21</f>
        <v>0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v>10</v>
      </c>
      <c r="J17">
        <v>0</v>
      </c>
      <c r="K17" s="84">
        <v>0.2</v>
      </c>
      <c r="L17" s="85">
        <v>0.4</v>
      </c>
      <c r="M17" s="85">
        <v>0.6</v>
      </c>
      <c r="N17" s="85">
        <v>0.9</v>
      </c>
      <c r="O17" s="85">
        <v>1.2</v>
      </c>
      <c r="P17" s="85">
        <v>1.5</v>
      </c>
      <c r="Q17" s="85">
        <v>1.9</v>
      </c>
      <c r="R17" s="85">
        <v>2.4</v>
      </c>
      <c r="S17" s="85">
        <v>2.9</v>
      </c>
      <c r="T17" s="85">
        <v>3.5</v>
      </c>
      <c r="U17" s="86">
        <v>4.0999999999999996</v>
      </c>
      <c r="V17" s="86">
        <v>4.8</v>
      </c>
    </row>
    <row r="18" spans="3:22" ht="14.4" thickBot="1" x14ac:dyDescent="0.3">
      <c r="C18">
        <v>9</v>
      </c>
      <c r="D18" s="8">
        <f>'Трудовая функция'!C22</f>
        <v>0</v>
      </c>
      <c r="E18">
        <f t="shared" si="0"/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v>11</v>
      </c>
      <c r="J18">
        <v>0</v>
      </c>
      <c r="K18" s="84">
        <v>0.2</v>
      </c>
      <c r="L18" s="85">
        <v>0.3</v>
      </c>
      <c r="M18" s="85">
        <v>0.5</v>
      </c>
      <c r="N18" s="85">
        <v>0.8</v>
      </c>
      <c r="O18" s="85">
        <v>1</v>
      </c>
      <c r="P18" s="85">
        <v>1.3</v>
      </c>
      <c r="Q18" s="85">
        <v>1.7</v>
      </c>
      <c r="R18" s="85">
        <v>2</v>
      </c>
      <c r="S18" s="85">
        <v>2.5</v>
      </c>
      <c r="T18" s="85">
        <v>2.9</v>
      </c>
      <c r="U18" s="85">
        <v>3.5</v>
      </c>
      <c r="V18" s="86">
        <v>4</v>
      </c>
    </row>
    <row r="19" spans="3:22" ht="14.4" thickBot="1" x14ac:dyDescent="0.3">
      <c r="C19">
        <v>10</v>
      </c>
      <c r="D19" s="8">
        <f>'Трудовая функция'!C23</f>
        <v>0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v>12</v>
      </c>
      <c r="J19">
        <v>0</v>
      </c>
      <c r="K19" s="84">
        <v>0.1</v>
      </c>
      <c r="L19" s="85">
        <v>0.3</v>
      </c>
      <c r="M19" s="85">
        <v>0.5</v>
      </c>
      <c r="N19" s="85">
        <v>0.7</v>
      </c>
      <c r="O19" s="85">
        <v>0.9</v>
      </c>
      <c r="P19" s="85">
        <v>1.2</v>
      </c>
      <c r="Q19" s="85">
        <v>1.5</v>
      </c>
      <c r="R19" s="85">
        <v>1.8</v>
      </c>
      <c r="S19" s="85">
        <v>2.2000000000000002</v>
      </c>
      <c r="T19" s="85">
        <v>2.6</v>
      </c>
      <c r="U19" s="85">
        <v>3</v>
      </c>
      <c r="V19" s="85">
        <v>3.5</v>
      </c>
    </row>
    <row r="20" spans="3:22" ht="14.4" thickBot="1" x14ac:dyDescent="0.3">
      <c r="C20">
        <v>11</v>
      </c>
      <c r="D20" s="8">
        <f>'Трудовая функция'!C24</f>
        <v>0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v>14</v>
      </c>
      <c r="J20">
        <v>0</v>
      </c>
      <c r="K20" s="84">
        <v>0.1</v>
      </c>
      <c r="L20" s="85">
        <v>0.3</v>
      </c>
      <c r="M20" s="85">
        <v>0.5</v>
      </c>
      <c r="N20" s="85">
        <v>0.6</v>
      </c>
      <c r="O20" s="85">
        <v>0.8</v>
      </c>
      <c r="P20" s="85">
        <v>1.1000000000000001</v>
      </c>
      <c r="Q20" s="85">
        <v>1.3</v>
      </c>
      <c r="R20" s="85">
        <v>1.6</v>
      </c>
      <c r="S20" s="85">
        <v>2</v>
      </c>
      <c r="T20" s="85">
        <v>2.2999999999999998</v>
      </c>
      <c r="U20" s="85">
        <v>2.7</v>
      </c>
      <c r="V20" s="85">
        <v>3.2</v>
      </c>
    </row>
    <row r="21" spans="3:22" ht="14.4" thickBot="1" x14ac:dyDescent="0.3">
      <c r="C21">
        <v>12</v>
      </c>
      <c r="D21" s="8">
        <f>'Трудовая функция'!C25</f>
        <v>0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  <c r="I21">
        <v>16</v>
      </c>
      <c r="J21">
        <v>0</v>
      </c>
      <c r="K21" s="84">
        <v>0.1</v>
      </c>
      <c r="L21" s="85">
        <v>0.3</v>
      </c>
      <c r="M21" s="85">
        <v>0.4</v>
      </c>
      <c r="N21" s="85">
        <v>0.6</v>
      </c>
      <c r="O21" s="85">
        <v>0.8</v>
      </c>
      <c r="P21" s="85">
        <v>1</v>
      </c>
      <c r="Q21" s="85">
        <v>1.2</v>
      </c>
      <c r="R21" s="85">
        <v>1.5</v>
      </c>
      <c r="S21" s="85">
        <v>1.8</v>
      </c>
      <c r="T21" s="85">
        <v>2.1</v>
      </c>
      <c r="U21" s="85">
        <v>2.5</v>
      </c>
      <c r="V21" s="85">
        <v>2.9</v>
      </c>
    </row>
    <row r="22" spans="3:22" ht="14.4" thickBot="1" x14ac:dyDescent="0.3">
      <c r="C22">
        <v>13</v>
      </c>
      <c r="D22" s="8">
        <f>'Трудовая функция'!C26</f>
        <v>0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  <c r="I22">
        <v>18</v>
      </c>
      <c r="J22">
        <v>0</v>
      </c>
      <c r="K22" s="84">
        <v>0.1</v>
      </c>
      <c r="L22" s="85">
        <v>0.3</v>
      </c>
      <c r="M22" s="85">
        <v>0.4</v>
      </c>
      <c r="N22" s="85">
        <v>0.5</v>
      </c>
      <c r="O22" s="85">
        <v>0.7</v>
      </c>
      <c r="P22" s="85">
        <v>0.9</v>
      </c>
      <c r="Q22" s="85">
        <v>1.1000000000000001</v>
      </c>
      <c r="R22" s="85">
        <v>1.4</v>
      </c>
      <c r="S22" s="85">
        <v>1.7</v>
      </c>
      <c r="T22" s="85">
        <v>2</v>
      </c>
      <c r="U22" s="85">
        <v>2.2999999999999998</v>
      </c>
      <c r="V22" s="85">
        <v>2.6</v>
      </c>
    </row>
    <row r="23" spans="3:22" ht="14.4" thickBot="1" x14ac:dyDescent="0.3">
      <c r="C23">
        <v>14</v>
      </c>
      <c r="D23" s="8">
        <f>'Трудовая функция'!C27</f>
        <v>0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v>20</v>
      </c>
      <c r="J23">
        <v>0</v>
      </c>
      <c r="K23" s="84">
        <v>0.1</v>
      </c>
      <c r="L23" s="85">
        <v>0.2</v>
      </c>
      <c r="M23" s="85">
        <v>0.3</v>
      </c>
      <c r="N23" s="85">
        <v>0.5</v>
      </c>
      <c r="O23" s="85">
        <v>0.6</v>
      </c>
      <c r="P23" s="85">
        <v>0.8</v>
      </c>
      <c r="Q23" s="85">
        <v>1</v>
      </c>
      <c r="R23" s="85">
        <v>1.2</v>
      </c>
      <c r="S23" s="85">
        <v>1.4</v>
      </c>
      <c r="T23" s="85">
        <v>1.7</v>
      </c>
      <c r="U23" s="85">
        <v>2</v>
      </c>
      <c r="V23" s="85">
        <v>2.2999999999999998</v>
      </c>
    </row>
    <row r="24" spans="3:22" ht="14.4" thickBot="1" x14ac:dyDescent="0.3">
      <c r="C24">
        <v>15</v>
      </c>
      <c r="D24" s="8">
        <f>'Трудовая функция'!C28</f>
        <v>0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  <c r="I24">
        <v>25</v>
      </c>
      <c r="J24">
        <v>0</v>
      </c>
      <c r="K24" s="84">
        <v>0.1</v>
      </c>
      <c r="L24" s="85">
        <v>0.2</v>
      </c>
      <c r="M24" s="85">
        <v>0.3</v>
      </c>
      <c r="N24" s="85">
        <v>0.4</v>
      </c>
      <c r="O24" s="85">
        <v>0.6</v>
      </c>
      <c r="P24" s="85">
        <v>0.7</v>
      </c>
      <c r="Q24" s="85">
        <v>0.9</v>
      </c>
      <c r="R24" s="85">
        <v>1.1000000000000001</v>
      </c>
      <c r="S24" s="85">
        <v>1.3</v>
      </c>
      <c r="T24" s="85">
        <v>1.5</v>
      </c>
      <c r="U24" s="85">
        <v>1.7</v>
      </c>
      <c r="V24" s="85">
        <v>2</v>
      </c>
    </row>
    <row r="25" spans="3:22" x14ac:dyDescent="0.25">
      <c r="C25">
        <v>16</v>
      </c>
      <c r="D25" s="8">
        <f>'Трудовая функция'!C29</f>
        <v>0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3:22" x14ac:dyDescent="0.25">
      <c r="C26">
        <v>17</v>
      </c>
      <c r="D26" s="8">
        <f>'Трудовая функция'!C30</f>
        <v>0</v>
      </c>
      <c r="E26">
        <f t="shared" si="0"/>
        <v>1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3:22" x14ac:dyDescent="0.25">
      <c r="C27">
        <v>18</v>
      </c>
      <c r="D27" s="8">
        <f>'Трудовая функция'!C31</f>
        <v>0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3:22" x14ac:dyDescent="0.25">
      <c r="C28">
        <v>19</v>
      </c>
      <c r="D28" s="8">
        <f>'Трудовая функция'!C32</f>
        <v>0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3:22" x14ac:dyDescent="0.25">
      <c r="C29">
        <v>20</v>
      </c>
      <c r="D29" s="8">
        <f>'Трудовая функция'!C33</f>
        <v>0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0" spans="3:22" x14ac:dyDescent="0.25">
      <c r="D30" s="8"/>
    </row>
    <row r="31" spans="3:22" x14ac:dyDescent="0.25">
      <c r="D31" s="8"/>
    </row>
    <row r="32" spans="3:22" x14ac:dyDescent="0.25">
      <c r="D32" s="8"/>
    </row>
    <row r="33" spans="1:15" x14ac:dyDescent="0.25">
      <c r="D33" s="8"/>
      <c r="L33" t="s">
        <v>139</v>
      </c>
      <c r="M33">
        <v>1</v>
      </c>
      <c r="O33" t="s">
        <v>140</v>
      </c>
    </row>
    <row r="34" spans="1:15" ht="13.8" x14ac:dyDescent="0.3">
      <c r="D34" s="8"/>
      <c r="L34" s="121" t="s">
        <v>138</v>
      </c>
      <c r="M34">
        <v>0.1</v>
      </c>
      <c r="O34" t="s">
        <v>141</v>
      </c>
    </row>
    <row r="36" spans="1:15" x14ac:dyDescent="0.25">
      <c r="A36" t="s">
        <v>111</v>
      </c>
      <c r="D36" s="80">
        <f>10*LOG10(E36/F36)</f>
        <v>88.439546629998361</v>
      </c>
      <c r="E36">
        <f>SUM(E10:E34)</f>
        <v>4188957106.767065</v>
      </c>
      <c r="F36">
        <f>SUM(F10:F35)</f>
        <v>6</v>
      </c>
      <c r="H36">
        <f>SUM(H10:H34)</f>
        <v>20.05333333333332</v>
      </c>
      <c r="L36" t="s">
        <v>142</v>
      </c>
      <c r="M36" s="3">
        <f>_xlfn.T.INV.2T(M34,M33)</f>
        <v>6.3137515146750438</v>
      </c>
    </row>
    <row r="37" spans="1:15" x14ac:dyDescent="0.25">
      <c r="A37" t="s">
        <v>114</v>
      </c>
      <c r="D37" s="80">
        <f>D36+10*LOG10(D9/8)</f>
        <v>88.159259393995924</v>
      </c>
      <c r="M37" s="3"/>
    </row>
    <row r="38" spans="1:15" x14ac:dyDescent="0.25">
      <c r="A38" t="s">
        <v>117</v>
      </c>
      <c r="D38">
        <f>'Трудовая функция'!C35</f>
        <v>0.7</v>
      </c>
    </row>
    <row r="39" spans="1:15" x14ac:dyDescent="0.25">
      <c r="A39" t="s">
        <v>118</v>
      </c>
      <c r="D39">
        <v>1</v>
      </c>
    </row>
    <row r="40" spans="1:15" x14ac:dyDescent="0.25">
      <c r="A40" t="s">
        <v>116</v>
      </c>
      <c r="D40">
        <f>D38*D38+D39*D39</f>
        <v>1.49</v>
      </c>
    </row>
    <row r="41" spans="1:15" x14ac:dyDescent="0.25">
      <c r="A41" t="s">
        <v>119</v>
      </c>
      <c r="D41" s="80">
        <f>SUM(D10:D34)/F36</f>
        <v>88.033333333333346</v>
      </c>
    </row>
    <row r="42" spans="1:15" x14ac:dyDescent="0.25">
      <c r="A42" t="s">
        <v>120</v>
      </c>
      <c r="D42" s="80">
        <f>SQRT(H36/(F36-1))</f>
        <v>2.0026648912553151</v>
      </c>
      <c r="F42">
        <f>INT(D42*2+0.5)+1</f>
        <v>5</v>
      </c>
      <c r="H42">
        <f>D42*2</f>
        <v>4.0053297825106302</v>
      </c>
    </row>
    <row r="43" spans="1:15" x14ac:dyDescent="0.25">
      <c r="A43" t="s">
        <v>115</v>
      </c>
      <c r="D43">
        <f ca="1">OFFSET($I$9,F36-2,F42,1,1)</f>
        <v>1.4</v>
      </c>
    </row>
    <row r="45" spans="1:15" x14ac:dyDescent="0.25">
      <c r="A45" t="s">
        <v>121</v>
      </c>
      <c r="D45" s="80">
        <f ca="1">SQRT(D43*D43+D40)</f>
        <v>1.857417562100671</v>
      </c>
    </row>
    <row r="46" spans="1:15" x14ac:dyDescent="0.25">
      <c r="A46" t="s">
        <v>122</v>
      </c>
      <c r="D46">
        <f ca="1">D45*1.65</f>
        <v>3.0647389774661069</v>
      </c>
    </row>
    <row r="47" spans="1:15" x14ac:dyDescent="0.25">
      <c r="A47" t="s">
        <v>123</v>
      </c>
      <c r="D47">
        <f ca="1">D45*2</f>
        <v>3.714835124201342</v>
      </c>
    </row>
  </sheetData>
  <sheetProtection password="EF24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7"/>
  <sheetViews>
    <sheetView topLeftCell="A13" zoomScale="80" zoomScaleNormal="80" workbookViewId="0">
      <selection activeCell="M47" sqref="M47"/>
    </sheetView>
  </sheetViews>
  <sheetFormatPr defaultRowHeight="13.2" x14ac:dyDescent="0.25"/>
  <cols>
    <col min="1" max="1" width="48" customWidth="1"/>
    <col min="2" max="2" width="6.44140625" customWidth="1"/>
    <col min="3" max="3" width="4.44140625" customWidth="1"/>
    <col min="5" max="5" width="11" bestFit="1" customWidth="1"/>
    <col min="8" max="8" width="10.5546875" bestFit="1" customWidth="1"/>
  </cols>
  <sheetData>
    <row r="1" spans="1:22" x14ac:dyDescent="0.25">
      <c r="E1" t="s">
        <v>104</v>
      </c>
      <c r="F1" t="s">
        <v>105</v>
      </c>
      <c r="G1" t="s">
        <v>106</v>
      </c>
      <c r="H1" t="s">
        <v>107</v>
      </c>
    </row>
    <row r="2" spans="1:22" x14ac:dyDescent="0.25">
      <c r="A2" t="s">
        <v>101</v>
      </c>
      <c r="F2">
        <f>IF(D5&lt;5,0,1)</f>
        <v>1</v>
      </c>
      <c r="G2">
        <f>IF(D5&lt;15,0,1)</f>
        <v>1</v>
      </c>
    </row>
    <row r="3" spans="1:22" x14ac:dyDescent="0.25">
      <c r="F3">
        <f>IF(D5&gt;=15,0,1)</f>
        <v>0</v>
      </c>
      <c r="G3">
        <f>IF(D5&gt;39,0,1)</f>
        <v>1</v>
      </c>
    </row>
    <row r="4" spans="1:22" x14ac:dyDescent="0.25">
      <c r="A4" t="s">
        <v>102</v>
      </c>
      <c r="F4" t="b">
        <f>AND(F2,F3)</f>
        <v>0</v>
      </c>
      <c r="G4" t="b">
        <f>AND(G2,G3)</f>
        <v>1</v>
      </c>
    </row>
    <row r="5" spans="1:22" x14ac:dyDescent="0.25">
      <c r="A5" t="s">
        <v>103</v>
      </c>
      <c r="D5">
        <f>'Трудовая функция'!C11</f>
        <v>18</v>
      </c>
      <c r="E5">
        <f>IF(D5&lt;5,5,0)</f>
        <v>0</v>
      </c>
      <c r="F5">
        <f>IF(F4,5+(D5-5)*0.5,0)</f>
        <v>0</v>
      </c>
      <c r="G5">
        <f>IF(G4,10+(D5-15)*0.25,0)</f>
        <v>10.75</v>
      </c>
      <c r="H5">
        <f>IF(D5&gt;39,17,0)</f>
        <v>0</v>
      </c>
    </row>
    <row r="6" spans="1:22" x14ac:dyDescent="0.25">
      <c r="A6" t="s">
        <v>109</v>
      </c>
      <c r="D6">
        <f>SUM(E5:H5)</f>
        <v>10.75</v>
      </c>
    </row>
    <row r="7" spans="1:22" x14ac:dyDescent="0.25">
      <c r="A7" t="s">
        <v>108</v>
      </c>
      <c r="D7">
        <f>'Трудовая функция'!C12</f>
        <v>6</v>
      </c>
    </row>
    <row r="8" spans="1:22" x14ac:dyDescent="0.25">
      <c r="A8" t="s">
        <v>110</v>
      </c>
      <c r="D8">
        <f>'Рабочая смена'!C37</f>
        <v>480</v>
      </c>
      <c r="K8" s="68">
        <v>1</v>
      </c>
      <c r="L8" s="68">
        <v>2</v>
      </c>
      <c r="M8" s="68">
        <v>3</v>
      </c>
      <c r="N8" s="68">
        <v>4</v>
      </c>
      <c r="O8" s="68">
        <v>5</v>
      </c>
      <c r="P8" s="68">
        <v>6</v>
      </c>
      <c r="Q8" s="68">
        <v>7</v>
      </c>
      <c r="R8" s="68">
        <v>8</v>
      </c>
      <c r="S8" s="68">
        <v>9</v>
      </c>
      <c r="T8" s="68">
        <v>10</v>
      </c>
      <c r="U8" s="68">
        <v>11</v>
      </c>
      <c r="V8" s="68">
        <v>12</v>
      </c>
    </row>
    <row r="9" spans="1:22" ht="13.8" thickBot="1" x14ac:dyDescent="0.3">
      <c r="A9" t="s">
        <v>113</v>
      </c>
      <c r="D9">
        <f>'Рабочая смена'!C13</f>
        <v>8</v>
      </c>
      <c r="K9" s="68">
        <v>0.5</v>
      </c>
      <c r="L9" s="68">
        <v>1</v>
      </c>
      <c r="M9" s="68">
        <v>1.5</v>
      </c>
      <c r="N9" s="68">
        <v>2</v>
      </c>
      <c r="O9" s="68">
        <v>2.5</v>
      </c>
      <c r="P9" s="68">
        <v>3</v>
      </c>
      <c r="Q9" s="68">
        <v>3.5</v>
      </c>
      <c r="R9" s="68">
        <v>4</v>
      </c>
      <c r="S9" s="68">
        <v>4.5</v>
      </c>
      <c r="T9" s="68">
        <v>5</v>
      </c>
      <c r="U9" s="68">
        <v>5.5</v>
      </c>
      <c r="V9" s="68">
        <v>6</v>
      </c>
    </row>
    <row r="10" spans="1:22" ht="15" thickTop="1" thickBot="1" x14ac:dyDescent="0.3">
      <c r="A10" t="s">
        <v>112</v>
      </c>
      <c r="C10">
        <v>1</v>
      </c>
      <c r="D10" s="8">
        <f>'Рабочая смена'!C14</f>
        <v>53.7</v>
      </c>
      <c r="E10">
        <f>POWER(10,0.1*D10)</f>
        <v>234422.8815319931</v>
      </c>
      <c r="F10">
        <f>IF(D10=0,0,1)</f>
        <v>1</v>
      </c>
      <c r="G10">
        <f>IF(F10=1,D10-$D$41,0)</f>
        <v>2.0000000000000071</v>
      </c>
      <c r="H10">
        <f>G10*G10</f>
        <v>4.0000000000000284</v>
      </c>
      <c r="I10">
        <v>3</v>
      </c>
      <c r="J10">
        <v>0</v>
      </c>
      <c r="K10" s="81">
        <v>0.6</v>
      </c>
      <c r="L10" s="82">
        <v>1.6</v>
      </c>
      <c r="M10" s="82">
        <v>3.1</v>
      </c>
      <c r="N10" s="83">
        <v>5.2</v>
      </c>
      <c r="O10" s="83">
        <v>8</v>
      </c>
      <c r="P10" s="83">
        <v>11.5</v>
      </c>
      <c r="Q10" s="83">
        <v>15.7</v>
      </c>
      <c r="R10" s="83">
        <v>20.6</v>
      </c>
      <c r="S10" s="83">
        <v>26.1</v>
      </c>
      <c r="T10" s="83">
        <v>32.200000000000003</v>
      </c>
      <c r="U10" s="83">
        <v>39</v>
      </c>
      <c r="V10" s="83">
        <v>46.5</v>
      </c>
    </row>
    <row r="11" spans="1:22" ht="14.4" thickBot="1" x14ac:dyDescent="0.3">
      <c r="C11">
        <v>2</v>
      </c>
      <c r="D11" s="8">
        <f>'Рабочая смена'!C15</f>
        <v>50.2</v>
      </c>
      <c r="E11">
        <f t="shared" ref="E11:E29" si="0">POWER(10,0.1*D11)</f>
        <v>104712.85480509014</v>
      </c>
      <c r="F11">
        <f t="shared" ref="F11:F29" si="1">IF(D11=0,0,1)</f>
        <v>1</v>
      </c>
      <c r="G11">
        <f t="shared" ref="G11:G29" si="2">IF(F11=1,D11-$D$41,0)</f>
        <v>-1.4999999999999929</v>
      </c>
      <c r="H11">
        <f t="shared" ref="H11:H29" si="3">G11*G11</f>
        <v>2.2499999999999787</v>
      </c>
      <c r="I11">
        <v>4</v>
      </c>
      <c r="J11">
        <v>0</v>
      </c>
      <c r="K11" s="84">
        <v>0.4</v>
      </c>
      <c r="L11" s="85">
        <v>0.9</v>
      </c>
      <c r="M11" s="85">
        <v>1.6</v>
      </c>
      <c r="N11" s="85">
        <v>2.5</v>
      </c>
      <c r="O11" s="86">
        <v>3.6</v>
      </c>
      <c r="P11" s="86">
        <v>5</v>
      </c>
      <c r="Q11" s="86">
        <v>6.7</v>
      </c>
      <c r="R11" s="86">
        <v>8.6</v>
      </c>
      <c r="S11" s="86">
        <v>10.9</v>
      </c>
      <c r="T11" s="86">
        <v>13.4</v>
      </c>
      <c r="U11" s="86">
        <v>16.100000000000001</v>
      </c>
      <c r="V11" s="86">
        <v>19.2</v>
      </c>
    </row>
    <row r="12" spans="1:22" ht="14.4" thickBot="1" x14ac:dyDescent="0.3">
      <c r="C12">
        <v>3</v>
      </c>
      <c r="D12" s="8">
        <f>'Рабочая смена'!C16</f>
        <v>52</v>
      </c>
      <c r="E12">
        <f t="shared" si="0"/>
        <v>158489.31924611164</v>
      </c>
      <c r="F12">
        <f t="shared" si="1"/>
        <v>1</v>
      </c>
      <c r="G12">
        <f t="shared" si="2"/>
        <v>0.30000000000000426</v>
      </c>
      <c r="H12">
        <f t="shared" si="3"/>
        <v>9.0000000000002564E-2</v>
      </c>
      <c r="I12">
        <v>5</v>
      </c>
      <c r="J12">
        <v>0</v>
      </c>
      <c r="K12" s="84">
        <v>0.3</v>
      </c>
      <c r="L12" s="85">
        <v>0.7</v>
      </c>
      <c r="M12" s="85">
        <v>1.2</v>
      </c>
      <c r="N12" s="85">
        <v>1.7</v>
      </c>
      <c r="O12" s="85">
        <v>2.4</v>
      </c>
      <c r="P12" s="85">
        <v>3.3</v>
      </c>
      <c r="Q12" s="86">
        <v>4.4000000000000004</v>
      </c>
      <c r="R12" s="86">
        <v>5.6</v>
      </c>
      <c r="S12" s="86">
        <v>6.9</v>
      </c>
      <c r="T12" s="86">
        <v>8.5</v>
      </c>
      <c r="U12" s="86">
        <v>10.199999999999999</v>
      </c>
      <c r="V12" s="86">
        <v>12.1</v>
      </c>
    </row>
    <row r="13" spans="1:22" ht="14.4" thickBot="1" x14ac:dyDescent="0.3">
      <c r="C13">
        <v>4</v>
      </c>
      <c r="D13" s="8">
        <f>'Рабочая смена'!C17</f>
        <v>52.6</v>
      </c>
      <c r="E13">
        <f t="shared" si="0"/>
        <v>181970.08586099889</v>
      </c>
      <c r="F13">
        <f t="shared" si="1"/>
        <v>1</v>
      </c>
      <c r="G13">
        <f t="shared" si="2"/>
        <v>0.90000000000000568</v>
      </c>
      <c r="H13">
        <f t="shared" si="3"/>
        <v>0.81000000000001027</v>
      </c>
      <c r="I13">
        <v>6</v>
      </c>
      <c r="J13">
        <v>0</v>
      </c>
      <c r="K13" s="84">
        <v>0.3</v>
      </c>
      <c r="L13" s="85">
        <v>0.6</v>
      </c>
      <c r="M13" s="85">
        <v>0.9</v>
      </c>
      <c r="N13" s="85">
        <v>1.4</v>
      </c>
      <c r="O13" s="85">
        <v>1.9</v>
      </c>
      <c r="P13" s="85">
        <v>2.6</v>
      </c>
      <c r="Q13" s="85">
        <v>3.3</v>
      </c>
      <c r="R13" s="86">
        <v>4.2</v>
      </c>
      <c r="S13" s="86">
        <v>5.2</v>
      </c>
      <c r="T13" s="86">
        <v>6.3</v>
      </c>
      <c r="U13" s="86">
        <v>7.6</v>
      </c>
      <c r="V13" s="86">
        <v>8.9</v>
      </c>
    </row>
    <row r="14" spans="1:22" ht="14.4" thickBot="1" x14ac:dyDescent="0.3">
      <c r="C14">
        <v>5</v>
      </c>
      <c r="D14" s="8">
        <f>'Рабочая смена'!C18</f>
        <v>48.4</v>
      </c>
      <c r="E14">
        <f t="shared" si="0"/>
        <v>69183.097091893651</v>
      </c>
      <c r="F14">
        <f t="shared" si="1"/>
        <v>1</v>
      </c>
      <c r="G14">
        <f t="shared" si="2"/>
        <v>-3.2999999999999972</v>
      </c>
      <c r="H14">
        <f t="shared" si="3"/>
        <v>10.889999999999981</v>
      </c>
      <c r="I14">
        <v>7</v>
      </c>
      <c r="J14">
        <v>0</v>
      </c>
      <c r="K14" s="84">
        <v>0.2</v>
      </c>
      <c r="L14" s="85">
        <v>0.5</v>
      </c>
      <c r="M14" s="85">
        <v>0.8</v>
      </c>
      <c r="N14" s="85">
        <v>1.2</v>
      </c>
      <c r="O14" s="85">
        <v>1.6</v>
      </c>
      <c r="P14" s="85">
        <v>2.2000000000000002</v>
      </c>
      <c r="Q14" s="85">
        <v>2.8</v>
      </c>
      <c r="R14" s="85">
        <v>3.5</v>
      </c>
      <c r="S14" s="86">
        <v>4.3</v>
      </c>
      <c r="T14" s="86">
        <v>5.0999999999999996</v>
      </c>
      <c r="U14" s="86">
        <v>6.1</v>
      </c>
      <c r="V14" s="86">
        <v>7.2</v>
      </c>
    </row>
    <row r="15" spans="1:22" ht="14.4" thickBot="1" x14ac:dyDescent="0.3">
      <c r="C15">
        <v>6</v>
      </c>
      <c r="D15" s="8">
        <f>'Рабочая смена'!C19</f>
        <v>53.3</v>
      </c>
      <c r="E15">
        <f t="shared" si="0"/>
        <v>213796.20895022334</v>
      </c>
      <c r="F15">
        <f t="shared" si="1"/>
        <v>1</v>
      </c>
      <c r="G15">
        <f t="shared" si="2"/>
        <v>1.6000000000000014</v>
      </c>
      <c r="H15">
        <f t="shared" si="3"/>
        <v>2.5600000000000045</v>
      </c>
      <c r="I15">
        <v>8</v>
      </c>
      <c r="J15">
        <v>0</v>
      </c>
      <c r="K15" s="84">
        <v>0.2</v>
      </c>
      <c r="L15" s="85">
        <v>0.5</v>
      </c>
      <c r="M15" s="85">
        <v>0.7</v>
      </c>
      <c r="N15" s="85">
        <v>1.1000000000000001</v>
      </c>
      <c r="O15" s="85">
        <v>1.4</v>
      </c>
      <c r="P15" s="85">
        <v>1.9</v>
      </c>
      <c r="Q15" s="85">
        <v>2.4</v>
      </c>
      <c r="R15" s="85">
        <v>3</v>
      </c>
      <c r="S15" s="86">
        <v>3.6</v>
      </c>
      <c r="T15" s="86">
        <v>4.4000000000000004</v>
      </c>
      <c r="U15" s="86">
        <v>5.2</v>
      </c>
      <c r="V15" s="86">
        <v>6.1</v>
      </c>
    </row>
    <row r="16" spans="1:22" ht="14.4" thickBot="1" x14ac:dyDescent="0.3">
      <c r="C16">
        <v>7</v>
      </c>
      <c r="D16" s="8">
        <f>'Рабочая смена'!C20</f>
        <v>0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  <c r="I16">
        <v>9</v>
      </c>
      <c r="J16">
        <v>0</v>
      </c>
      <c r="K16" s="84">
        <v>0.2</v>
      </c>
      <c r="L16" s="85">
        <v>0.4</v>
      </c>
      <c r="M16" s="85">
        <v>0.7</v>
      </c>
      <c r="N16" s="85">
        <v>1</v>
      </c>
      <c r="O16" s="85">
        <v>1.3</v>
      </c>
      <c r="P16" s="85">
        <v>1.7</v>
      </c>
      <c r="Q16" s="85">
        <v>2.1</v>
      </c>
      <c r="R16" s="85">
        <v>2.6</v>
      </c>
      <c r="S16" s="85">
        <v>3.2</v>
      </c>
      <c r="T16" s="86">
        <v>3.9</v>
      </c>
      <c r="U16" s="86">
        <v>4.5999999999999996</v>
      </c>
      <c r="V16" s="86">
        <v>5.4</v>
      </c>
    </row>
    <row r="17" spans="3:22" ht="14.4" thickBot="1" x14ac:dyDescent="0.3">
      <c r="C17">
        <v>8</v>
      </c>
      <c r="D17" s="8">
        <f>'Рабочая смена'!C21</f>
        <v>0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v>10</v>
      </c>
      <c r="J17">
        <v>0</v>
      </c>
      <c r="K17" s="84">
        <v>0.2</v>
      </c>
      <c r="L17" s="85">
        <v>0.4</v>
      </c>
      <c r="M17" s="85">
        <v>0.6</v>
      </c>
      <c r="N17" s="85">
        <v>0.9</v>
      </c>
      <c r="O17" s="85">
        <v>1.2</v>
      </c>
      <c r="P17" s="85">
        <v>1.5</v>
      </c>
      <c r="Q17" s="85">
        <v>1.9</v>
      </c>
      <c r="R17" s="85">
        <v>2.4</v>
      </c>
      <c r="S17" s="85">
        <v>2.9</v>
      </c>
      <c r="T17" s="85">
        <v>3.5</v>
      </c>
      <c r="U17" s="86">
        <v>4.0999999999999996</v>
      </c>
      <c r="V17" s="86">
        <v>4.8</v>
      </c>
    </row>
    <row r="18" spans="3:22" ht="14.4" thickBot="1" x14ac:dyDescent="0.3">
      <c r="C18">
        <v>9</v>
      </c>
      <c r="D18" s="8">
        <f>'Рабочая смена'!C22</f>
        <v>0</v>
      </c>
      <c r="E18">
        <f t="shared" si="0"/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v>11</v>
      </c>
      <c r="J18">
        <v>0</v>
      </c>
      <c r="K18" s="84">
        <v>0.2</v>
      </c>
      <c r="L18" s="85">
        <v>0.3</v>
      </c>
      <c r="M18" s="85">
        <v>0.5</v>
      </c>
      <c r="N18" s="85">
        <v>0.8</v>
      </c>
      <c r="O18" s="85">
        <v>1</v>
      </c>
      <c r="P18" s="85">
        <v>1.3</v>
      </c>
      <c r="Q18" s="85">
        <v>1.7</v>
      </c>
      <c r="R18" s="85">
        <v>2</v>
      </c>
      <c r="S18" s="85">
        <v>2.5</v>
      </c>
      <c r="T18" s="85">
        <v>2.9</v>
      </c>
      <c r="U18" s="85">
        <v>3.5</v>
      </c>
      <c r="V18" s="86">
        <v>4</v>
      </c>
    </row>
    <row r="19" spans="3:22" ht="14.4" thickBot="1" x14ac:dyDescent="0.3">
      <c r="C19">
        <v>10</v>
      </c>
      <c r="D19" s="8">
        <f>'Рабочая смена'!C23</f>
        <v>0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v>12</v>
      </c>
      <c r="J19">
        <v>0</v>
      </c>
      <c r="K19" s="84">
        <v>0.1</v>
      </c>
      <c r="L19" s="85">
        <v>0.3</v>
      </c>
      <c r="M19" s="85">
        <v>0.5</v>
      </c>
      <c r="N19" s="85">
        <v>0.7</v>
      </c>
      <c r="O19" s="85">
        <v>0.9</v>
      </c>
      <c r="P19" s="85">
        <v>1.2</v>
      </c>
      <c r="Q19" s="85">
        <v>1.5</v>
      </c>
      <c r="R19" s="85">
        <v>1.8</v>
      </c>
      <c r="S19" s="85">
        <v>2.2000000000000002</v>
      </c>
      <c r="T19" s="85">
        <v>2.6</v>
      </c>
      <c r="U19" s="85">
        <v>3</v>
      </c>
      <c r="V19" s="85">
        <v>3.5</v>
      </c>
    </row>
    <row r="20" spans="3:22" ht="14.4" thickBot="1" x14ac:dyDescent="0.3">
      <c r="C20">
        <v>11</v>
      </c>
      <c r="D20" s="8">
        <f>'Рабочая смена'!C24</f>
        <v>0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v>14</v>
      </c>
      <c r="J20">
        <v>0</v>
      </c>
      <c r="K20" s="84">
        <v>0.1</v>
      </c>
      <c r="L20" s="85">
        <v>0.3</v>
      </c>
      <c r="M20" s="85">
        <v>0.5</v>
      </c>
      <c r="N20" s="85">
        <v>0.6</v>
      </c>
      <c r="O20" s="85">
        <v>0.8</v>
      </c>
      <c r="P20" s="85">
        <v>1.1000000000000001</v>
      </c>
      <c r="Q20" s="85">
        <v>1.3</v>
      </c>
      <c r="R20" s="85">
        <v>1.6</v>
      </c>
      <c r="S20" s="85">
        <v>2</v>
      </c>
      <c r="T20" s="85">
        <v>2.2999999999999998</v>
      </c>
      <c r="U20" s="85">
        <v>2.7</v>
      </c>
      <c r="V20" s="85">
        <v>3.2</v>
      </c>
    </row>
    <row r="21" spans="3:22" ht="14.4" thickBot="1" x14ac:dyDescent="0.3">
      <c r="C21">
        <v>12</v>
      </c>
      <c r="D21" s="8">
        <f>'Рабочая смена'!C25</f>
        <v>0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  <c r="I21">
        <v>16</v>
      </c>
      <c r="J21">
        <v>0</v>
      </c>
      <c r="K21" s="84">
        <v>0.1</v>
      </c>
      <c r="L21" s="85">
        <v>0.3</v>
      </c>
      <c r="M21" s="85">
        <v>0.4</v>
      </c>
      <c r="N21" s="85">
        <v>0.6</v>
      </c>
      <c r="O21" s="85">
        <v>0.8</v>
      </c>
      <c r="P21" s="85">
        <v>1</v>
      </c>
      <c r="Q21" s="85">
        <v>1.2</v>
      </c>
      <c r="R21" s="85">
        <v>1.5</v>
      </c>
      <c r="S21" s="85">
        <v>1.8</v>
      </c>
      <c r="T21" s="85">
        <v>2.1</v>
      </c>
      <c r="U21" s="85">
        <v>2.5</v>
      </c>
      <c r="V21" s="85">
        <v>2.9</v>
      </c>
    </row>
    <row r="22" spans="3:22" ht="14.4" thickBot="1" x14ac:dyDescent="0.3">
      <c r="C22">
        <v>13</v>
      </c>
      <c r="D22" s="8">
        <f>'Рабочая смена'!C26</f>
        <v>0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  <c r="I22">
        <v>18</v>
      </c>
      <c r="J22">
        <v>0</v>
      </c>
      <c r="K22" s="84">
        <v>0.1</v>
      </c>
      <c r="L22" s="85">
        <v>0.3</v>
      </c>
      <c r="M22" s="85">
        <v>0.4</v>
      </c>
      <c r="N22" s="85">
        <v>0.5</v>
      </c>
      <c r="O22" s="85">
        <v>0.7</v>
      </c>
      <c r="P22" s="85">
        <v>0.9</v>
      </c>
      <c r="Q22" s="85">
        <v>1.1000000000000001</v>
      </c>
      <c r="R22" s="85">
        <v>1.4</v>
      </c>
      <c r="S22" s="85">
        <v>1.7</v>
      </c>
      <c r="T22" s="85">
        <v>2</v>
      </c>
      <c r="U22" s="85">
        <v>2.2999999999999998</v>
      </c>
      <c r="V22" s="85">
        <v>2.6</v>
      </c>
    </row>
    <row r="23" spans="3:22" ht="14.4" thickBot="1" x14ac:dyDescent="0.3">
      <c r="C23">
        <v>14</v>
      </c>
      <c r="D23" s="8">
        <f>'Рабочая смена'!C27</f>
        <v>0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v>20</v>
      </c>
      <c r="J23">
        <v>0</v>
      </c>
      <c r="K23" s="84">
        <v>0.1</v>
      </c>
      <c r="L23" s="85">
        <v>0.2</v>
      </c>
      <c r="M23" s="85">
        <v>0.3</v>
      </c>
      <c r="N23" s="85">
        <v>0.5</v>
      </c>
      <c r="O23" s="85">
        <v>0.6</v>
      </c>
      <c r="P23" s="85">
        <v>0.8</v>
      </c>
      <c r="Q23" s="85">
        <v>1</v>
      </c>
      <c r="R23" s="85">
        <v>1.2</v>
      </c>
      <c r="S23" s="85">
        <v>1.4</v>
      </c>
      <c r="T23" s="85">
        <v>1.7</v>
      </c>
      <c r="U23" s="85">
        <v>2</v>
      </c>
      <c r="V23" s="85">
        <v>2.2999999999999998</v>
      </c>
    </row>
    <row r="24" spans="3:22" ht="14.4" thickBot="1" x14ac:dyDescent="0.3">
      <c r="C24">
        <v>15</v>
      </c>
      <c r="D24" s="8">
        <f>'Рабочая смена'!C28</f>
        <v>0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  <c r="I24">
        <v>25</v>
      </c>
      <c r="J24">
        <v>0</v>
      </c>
      <c r="K24" s="84">
        <v>0.1</v>
      </c>
      <c r="L24" s="85">
        <v>0.2</v>
      </c>
      <c r="M24" s="85">
        <v>0.3</v>
      </c>
      <c r="N24" s="85">
        <v>0.4</v>
      </c>
      <c r="O24" s="85">
        <v>0.6</v>
      </c>
      <c r="P24" s="85">
        <v>0.7</v>
      </c>
      <c r="Q24" s="85">
        <v>0.9</v>
      </c>
      <c r="R24" s="85">
        <v>1.1000000000000001</v>
      </c>
      <c r="S24" s="85">
        <v>1.3</v>
      </c>
      <c r="T24" s="85">
        <v>1.5</v>
      </c>
      <c r="U24" s="85">
        <v>1.7</v>
      </c>
      <c r="V24" s="85">
        <v>2</v>
      </c>
    </row>
    <row r="25" spans="3:22" x14ac:dyDescent="0.25">
      <c r="C25">
        <v>16</v>
      </c>
      <c r="D25" s="8">
        <f>'Рабочая смена'!C29</f>
        <v>0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3:22" x14ac:dyDescent="0.25">
      <c r="C26">
        <v>17</v>
      </c>
      <c r="D26" s="8">
        <f>'Рабочая смена'!C30</f>
        <v>0</v>
      </c>
      <c r="E26">
        <f t="shared" si="0"/>
        <v>1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3:22" x14ac:dyDescent="0.25">
      <c r="C27">
        <v>18</v>
      </c>
      <c r="D27" s="8">
        <f>'Рабочая смена'!C31</f>
        <v>0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3:22" x14ac:dyDescent="0.25">
      <c r="C28">
        <v>19</v>
      </c>
      <c r="D28" s="8">
        <f>'Рабочая смена'!C32</f>
        <v>0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3:22" x14ac:dyDescent="0.25">
      <c r="C29">
        <v>20</v>
      </c>
      <c r="D29" s="8">
        <f>'Рабочая смена'!C33</f>
        <v>0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0" spans="3:22" x14ac:dyDescent="0.25">
      <c r="D30" s="8"/>
      <c r="T30">
        <v>2</v>
      </c>
    </row>
    <row r="31" spans="3:22" x14ac:dyDescent="0.25">
      <c r="D31" s="8"/>
    </row>
    <row r="32" spans="3:22" x14ac:dyDescent="0.25">
      <c r="D32" s="8"/>
    </row>
    <row r="33" spans="1:26" x14ac:dyDescent="0.25">
      <c r="D33" s="8"/>
      <c r="L33" t="s">
        <v>139</v>
      </c>
      <c r="M33">
        <v>1</v>
      </c>
      <c r="O33" t="s">
        <v>140</v>
      </c>
    </row>
    <row r="34" spans="1:26" ht="13.8" x14ac:dyDescent="0.3">
      <c r="D34" s="8"/>
      <c r="L34" s="121" t="s">
        <v>138</v>
      </c>
      <c r="M34">
        <v>0.1</v>
      </c>
      <c r="O34" t="s">
        <v>141</v>
      </c>
    </row>
    <row r="36" spans="1:26" x14ac:dyDescent="0.25">
      <c r="A36" t="s">
        <v>111</v>
      </c>
      <c r="D36" s="80">
        <f>10*LOG10(E36/F36)</f>
        <v>52.052893947999415</v>
      </c>
      <c r="E36">
        <f>SUM(E10:E34)</f>
        <v>962588.44748631096</v>
      </c>
      <c r="F36">
        <f>SUM(F10:F35)</f>
        <v>6</v>
      </c>
      <c r="H36">
        <f>SUM(H10:H34)</f>
        <v>20.600000000000005</v>
      </c>
      <c r="L36" t="s">
        <v>142</v>
      </c>
      <c r="M36" s="3">
        <f>_xlfn.T.INV.2T(M34,M33)</f>
        <v>6.3137515146750438</v>
      </c>
    </row>
    <row r="37" spans="1:26" x14ac:dyDescent="0.25">
      <c r="A37" t="s">
        <v>114</v>
      </c>
      <c r="D37" s="80">
        <f>D36+10*LOG10(D9/8)</f>
        <v>52.052893947999415</v>
      </c>
      <c r="M37" s="3"/>
      <c r="S37" t="s">
        <v>152</v>
      </c>
    </row>
    <row r="38" spans="1:26" x14ac:dyDescent="0.25">
      <c r="A38" t="s">
        <v>117</v>
      </c>
      <c r="D38">
        <f>'Рабочая смена'!C35</f>
        <v>0.7</v>
      </c>
    </row>
    <row r="39" spans="1:26" x14ac:dyDescent="0.25">
      <c r="A39" t="s">
        <v>118</v>
      </c>
      <c r="D39">
        <v>1</v>
      </c>
    </row>
    <row r="40" spans="1:26" x14ac:dyDescent="0.25">
      <c r="A40" t="s">
        <v>116</v>
      </c>
      <c r="D40">
        <f>D38*D38+D39*D39</f>
        <v>1.49</v>
      </c>
      <c r="O40" s="146"/>
      <c r="P40" s="147"/>
      <c r="Q40" s="146"/>
      <c r="R40" s="147"/>
      <c r="S40" s="146"/>
      <c r="T40" s="147"/>
      <c r="U40" s="146"/>
      <c r="V40" s="147"/>
      <c r="W40" s="146"/>
      <c r="X40" s="147"/>
      <c r="Y40" s="146"/>
      <c r="Z40" s="147"/>
    </row>
    <row r="41" spans="1:26" x14ac:dyDescent="0.25">
      <c r="A41" t="s">
        <v>119</v>
      </c>
      <c r="D41" s="80">
        <f>SUM(D10:D34)/F36</f>
        <v>51.699999999999996</v>
      </c>
      <c r="O41" s="146"/>
      <c r="P41" s="147"/>
      <c r="Q41" s="146"/>
      <c r="R41" s="147"/>
      <c r="S41" s="146"/>
      <c r="T41" s="147"/>
      <c r="U41" s="146"/>
      <c r="V41" s="147"/>
      <c r="W41" s="146"/>
      <c r="X41" s="147"/>
      <c r="Y41" s="146"/>
      <c r="Z41" s="147"/>
    </row>
    <row r="42" spans="1:26" x14ac:dyDescent="0.25">
      <c r="A42" t="s">
        <v>120</v>
      </c>
      <c r="D42" s="80">
        <f>SQRT(H36/(F36-1))</f>
        <v>2.0297783130184444</v>
      </c>
      <c r="F42">
        <f>INT(D42*2+0.5)+1</f>
        <v>5</v>
      </c>
      <c r="H42">
        <f>D42*2</f>
        <v>4.0595566260368887</v>
      </c>
      <c r="O42" s="146"/>
      <c r="P42" s="148"/>
      <c r="Q42" s="146"/>
      <c r="R42" s="148"/>
      <c r="S42" s="146"/>
      <c r="T42" s="148"/>
      <c r="U42" s="146"/>
      <c r="V42" s="148"/>
      <c r="W42" s="146"/>
      <c r="X42" s="148"/>
      <c r="Y42" s="146"/>
      <c r="Z42" s="148"/>
    </row>
    <row r="43" spans="1:26" x14ac:dyDescent="0.25">
      <c r="A43" t="s">
        <v>115</v>
      </c>
      <c r="D43">
        <f ca="1">OFFSET($I$9,F36-2,F42,1,1)</f>
        <v>1.4</v>
      </c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x14ac:dyDescent="0.25">
      <c r="O44" s="146"/>
      <c r="P44" s="147"/>
      <c r="Q44" s="146"/>
      <c r="R44" s="147"/>
      <c r="S44" s="146"/>
      <c r="T44" s="147"/>
      <c r="U44" s="146"/>
      <c r="V44" s="147"/>
      <c r="W44" s="146"/>
      <c r="X44" s="147"/>
      <c r="Y44" s="146"/>
      <c r="Z44" s="147"/>
    </row>
    <row r="45" spans="1:26" x14ac:dyDescent="0.25">
      <c r="A45" t="s">
        <v>121</v>
      </c>
      <c r="D45" s="80">
        <f ca="1">SQRT(D43*D43+D40)</f>
        <v>1.857417562100671</v>
      </c>
      <c r="O45" s="146"/>
      <c r="P45" s="147"/>
      <c r="Q45" s="146"/>
      <c r="R45" s="147"/>
      <c r="S45" s="146"/>
      <c r="T45" s="147"/>
      <c r="U45" s="146"/>
      <c r="V45" s="147"/>
      <c r="W45" s="146"/>
      <c r="X45" s="147"/>
      <c r="Y45" s="146"/>
      <c r="Z45" s="147"/>
    </row>
    <row r="46" spans="1:26" x14ac:dyDescent="0.25">
      <c r="A46" t="s">
        <v>122</v>
      </c>
      <c r="D46">
        <f ca="1">D45*1.65</f>
        <v>3.0647389774661069</v>
      </c>
      <c r="O46" s="146"/>
      <c r="P46" s="148"/>
      <c r="Q46" s="146"/>
      <c r="R46" s="148"/>
      <c r="S46" s="146"/>
      <c r="T46" s="148"/>
      <c r="U46" s="146"/>
      <c r="V46" s="148"/>
      <c r="W46" s="146"/>
      <c r="X46" s="148"/>
      <c r="Y46" s="146"/>
      <c r="Z46" s="148"/>
    </row>
    <row r="47" spans="1:26" x14ac:dyDescent="0.25">
      <c r="A47" t="s">
        <v>123</v>
      </c>
      <c r="D47">
        <f ca="1">D45*2</f>
        <v>3.714835124201342</v>
      </c>
    </row>
  </sheetData>
  <sheetProtection password="EF24" sheet="1" objects="1" scenarios="1"/>
  <protectedRanges>
    <protectedRange sqref="O40:Z42" name="Диапазон2" securityDescriptor="O:WDG:WDD:(A;;CC;;;LA)(A;;CC;;;S-1-5-21-2730521853-3519568808-3049322415-1001)(A;;CC;;;BG)(A;;CC;;;LG)(A;;CC;;;BU)"/>
    <protectedRange sqref="O44:Z46" name="Диапазон2_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Рабочая операция</vt:lpstr>
      <vt:lpstr>Трудовая функция</vt:lpstr>
      <vt:lpstr>Рабочая смена</vt:lpstr>
      <vt:lpstr>ISO9612-оп</vt:lpstr>
      <vt:lpstr>ISO9612-тф</vt:lpstr>
      <vt:lpstr>ISO9612-РС</vt:lpstr>
    </vt:vector>
  </TitlesOfParts>
  <Company>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Kurepin</dc:creator>
  <cp:lastModifiedBy>Александр</cp:lastModifiedBy>
  <dcterms:created xsi:type="dcterms:W3CDTF">2009-03-10T15:34:25Z</dcterms:created>
  <dcterms:modified xsi:type="dcterms:W3CDTF">2022-03-14T10:11:32Z</dcterms:modified>
</cp:coreProperties>
</file>